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5"/>
  <workbookPr showInkAnnotation="0" codeName="ThisWorkbook"/>
  <mc:AlternateContent xmlns:mc="http://schemas.openxmlformats.org/markup-compatibility/2006">
    <mc:Choice Requires="x15">
      <x15ac:absPath xmlns:x15ac="http://schemas.microsoft.com/office/spreadsheetml/2010/11/ac" url="E:\Users\Mitarbeiter\Desktop\Laufende Arbeit\Arbeitszeitblatt\"/>
    </mc:Choice>
  </mc:AlternateContent>
  <xr:revisionPtr revIDLastSave="0" documentId="8_{8F3F09D1-DEA2-4528-A016-78D8C6FA3F86}" xr6:coauthVersionLast="36" xr6:coauthVersionMax="36" xr10:uidLastSave="{00000000-0000-0000-0000-000000000000}"/>
  <bookViews>
    <workbookView xWindow="6640" yWindow="50" windowWidth="8260" windowHeight="6300" tabRatio="558" xr2:uid="{00000000-000D-0000-FFFF-FFFF00000000}"/>
  </bookViews>
  <sheets>
    <sheet name="Mantelbogen" sheetId="42" r:id="rId1"/>
    <sheet name="Jan" sheetId="30" r:id="rId2"/>
    <sheet name="Feb" sheetId="29" r:id="rId3"/>
    <sheet name="Mar" sheetId="28" r:id="rId4"/>
    <sheet name="Apr" sheetId="31" r:id="rId5"/>
    <sheet name="Mai" sheetId="32" r:id="rId6"/>
    <sheet name="Jun" sheetId="33" r:id="rId7"/>
    <sheet name="Jul" sheetId="40" r:id="rId8"/>
    <sheet name="Aug" sheetId="35" r:id="rId9"/>
    <sheet name="Sep" sheetId="38" r:id="rId10"/>
    <sheet name="Okt" sheetId="36" r:id="rId11"/>
    <sheet name="Nov" sheetId="37" r:id="rId12"/>
    <sheet name="Dez" sheetId="41" r:id="rId13"/>
    <sheet name="Ref" sheetId="43" state="hidden" r:id="rId14"/>
  </sheets>
  <definedNames>
    <definedName name="Druck_Area" localSheetId="4">Apr!$A:$M</definedName>
    <definedName name="Druck_Area" localSheetId="12">Dez!$A:$M</definedName>
    <definedName name="Druck_Area" localSheetId="2">Feb!$A:$M</definedName>
    <definedName name="Druck_Area" localSheetId="1">Jan!$A:$M</definedName>
    <definedName name="Druck_Area" localSheetId="6">Jun!$A:$M</definedName>
    <definedName name="Druck_Area" localSheetId="0">Mantelbogen!$A$1:$D$48</definedName>
    <definedName name="Druck_Area" localSheetId="3">Mar!$A:$M</definedName>
    <definedName name="Druck_Area" localSheetId="11">Nov!$A:$M</definedName>
    <definedName name="Druck_Area" localSheetId="10">Okt!$A$1:$M$60</definedName>
    <definedName name="_xlnm.Print_Area" localSheetId="4">Apr!$A:$M</definedName>
    <definedName name="_xlnm.Print_Area" localSheetId="8">Aug!$A:$M</definedName>
    <definedName name="_xlnm.Print_Area" localSheetId="12">Dez!$A:$M</definedName>
    <definedName name="_xlnm.Print_Area" localSheetId="2">Feb!$A:$M</definedName>
    <definedName name="_xlnm.Print_Area" localSheetId="1">Jan!$A:$M</definedName>
    <definedName name="_xlnm.Print_Area" localSheetId="7">Jul!$A:$M</definedName>
    <definedName name="_xlnm.Print_Area" localSheetId="6">Jun!$A:$M</definedName>
    <definedName name="_xlnm.Print_Area" localSheetId="5">Mai!$A:$M</definedName>
    <definedName name="_xlnm.Print_Area" localSheetId="0">Mantelbogen!$A$1:$E$47</definedName>
    <definedName name="_xlnm.Print_Area" localSheetId="3">Mar!$A:$M</definedName>
    <definedName name="_xlnm.Print_Area" localSheetId="11">Nov!$A:$M</definedName>
    <definedName name="_xlnm.Print_Area" localSheetId="10">Okt!$A:$M</definedName>
    <definedName name="_xlnm.Print_Area" localSheetId="9">Sep!$A:$M</definedName>
    <definedName name="Sonderarbeit">{"sitzung";"Jahresfeier";"Akademievorlesung";"Samstagsarbeit";"Sonderarbeit"}</definedName>
    <definedName name="tblMonate">Monate[Monat]</definedName>
    <definedName name="Textcode">Ref!$E$13</definedName>
  </definedNames>
  <calcPr calcId="191029"/>
</workbook>
</file>

<file path=xl/calcChain.xml><?xml version="1.0" encoding="utf-8"?>
<calcChain xmlns="http://schemas.openxmlformats.org/spreadsheetml/2006/main">
  <c r="H49" i="35" l="1"/>
  <c r="E49" i="35" a="1"/>
  <c r="E49" i="35" s="1"/>
  <c r="B49" i="35"/>
  <c r="D49" i="35" s="1" a="1"/>
  <c r="D49" i="35" s="1"/>
  <c r="F49" i="35" s="1"/>
  <c r="H48" i="35"/>
  <c r="B48" i="35"/>
  <c r="E48" i="35" s="1" a="1"/>
  <c r="E48" i="35" s="1"/>
  <c r="H47" i="35"/>
  <c r="E47" i="35" a="1"/>
  <c r="E47" i="35" s="1"/>
  <c r="D47" i="35" a="1"/>
  <c r="D47" i="35" s="1"/>
  <c r="F47" i="35" s="1"/>
  <c r="B47" i="35"/>
  <c r="L47" i="35" s="1"/>
  <c r="H46" i="35"/>
  <c r="E46" i="35"/>
  <c r="E46" i="35" a="1"/>
  <c r="D46" i="35" a="1"/>
  <c r="D46" i="35" s="1"/>
  <c r="F46" i="35" s="1"/>
  <c r="B46" i="35"/>
  <c r="L46" i="35" s="1"/>
  <c r="H45" i="35"/>
  <c r="D45" i="35" a="1"/>
  <c r="D45" i="35" s="1"/>
  <c r="B45" i="35"/>
  <c r="E45" i="35" s="1" a="1"/>
  <c r="E45" i="35" s="1"/>
  <c r="L44" i="35"/>
  <c r="H44" i="35"/>
  <c r="E44" i="35"/>
  <c r="E44" i="35" a="1"/>
  <c r="D44" i="35"/>
  <c r="F44" i="35" s="1"/>
  <c r="D44" i="35" a="1"/>
  <c r="B44" i="35"/>
  <c r="L43" i="35"/>
  <c r="H43" i="35"/>
  <c r="B43" i="35"/>
  <c r="E43" i="35" s="1" a="1"/>
  <c r="E43" i="35" s="1"/>
  <c r="H42" i="35"/>
  <c r="B42" i="35"/>
  <c r="E42" i="35" s="1" a="1"/>
  <c r="E42" i="35" s="1"/>
  <c r="H41" i="35"/>
  <c r="B41" i="35"/>
  <c r="L41" i="35" s="1"/>
  <c r="H40" i="35"/>
  <c r="B40" i="35"/>
  <c r="E40" i="35" s="1" a="1"/>
  <c r="E40" i="35" s="1"/>
  <c r="H39" i="35"/>
  <c r="E39" i="35" a="1"/>
  <c r="E39" i="35" s="1"/>
  <c r="D39" i="35" a="1"/>
  <c r="D39" i="35" s="1"/>
  <c r="B39" i="35"/>
  <c r="L39" i="35" s="1"/>
  <c r="H38" i="35"/>
  <c r="E38" i="35"/>
  <c r="E38" i="35" a="1"/>
  <c r="D38" i="35" a="1"/>
  <c r="D38" i="35" s="1"/>
  <c r="F38" i="35" s="1"/>
  <c r="B38" i="35"/>
  <c r="L38" i="35" s="1"/>
  <c r="L37" i="35"/>
  <c r="H37" i="35"/>
  <c r="D37" i="35" a="1"/>
  <c r="D37" i="35" s="1"/>
  <c r="F37" i="35" s="1"/>
  <c r="B37" i="35"/>
  <c r="E37" i="35" s="1" a="1"/>
  <c r="E37" i="35" s="1"/>
  <c r="L36" i="35"/>
  <c r="H36" i="35"/>
  <c r="E36" i="35"/>
  <c r="E36" i="35" a="1"/>
  <c r="D36" i="35"/>
  <c r="F36" i="35" s="1"/>
  <c r="D36" i="35" a="1"/>
  <c r="B36" i="35"/>
  <c r="H35" i="35"/>
  <c r="B35" i="35"/>
  <c r="E35" i="35" s="1" a="1"/>
  <c r="E35" i="35" s="1"/>
  <c r="L34" i="35"/>
  <c r="H34" i="35"/>
  <c r="B34" i="35"/>
  <c r="E34" i="35" s="1" a="1"/>
  <c r="E34" i="35" s="1"/>
  <c r="H33" i="35"/>
  <c r="E33" i="35" a="1"/>
  <c r="E33" i="35" s="1"/>
  <c r="B33" i="35"/>
  <c r="L33" i="35" s="1"/>
  <c r="H32" i="35"/>
  <c r="B32" i="35"/>
  <c r="E32" i="35" s="1" a="1"/>
  <c r="E32" i="35" s="1"/>
  <c r="H31" i="35"/>
  <c r="E31" i="35" a="1"/>
  <c r="E31" i="35" s="1"/>
  <c r="D31" i="35" a="1"/>
  <c r="D31" i="35" s="1"/>
  <c r="B31" i="35"/>
  <c r="L31" i="35" s="1"/>
  <c r="H30" i="35"/>
  <c r="E30" i="35"/>
  <c r="E30" i="35" a="1"/>
  <c r="D30" i="35" a="1"/>
  <c r="D30" i="35" s="1"/>
  <c r="F30" i="35" s="1"/>
  <c r="B30" i="35"/>
  <c r="L30" i="35" s="1"/>
  <c r="L29" i="35"/>
  <c r="H29" i="35"/>
  <c r="D29" i="35" a="1"/>
  <c r="D29" i="35" s="1"/>
  <c r="F29" i="35" s="1"/>
  <c r="B29" i="35"/>
  <c r="E29" i="35" s="1" a="1"/>
  <c r="E29" i="35" s="1"/>
  <c r="H28" i="35"/>
  <c r="E28" i="35"/>
  <c r="E28" i="35" a="1"/>
  <c r="D28" i="35"/>
  <c r="F28" i="35" s="1"/>
  <c r="D28" i="35" a="1"/>
  <c r="B28" i="35"/>
  <c r="L27" i="35"/>
  <c r="H27" i="35"/>
  <c r="B27" i="35"/>
  <c r="E27" i="35" s="1" a="1"/>
  <c r="E27" i="35" s="1"/>
  <c r="H26" i="35"/>
  <c r="B26" i="35"/>
  <c r="L26" i="35" s="1"/>
  <c r="H25" i="35"/>
  <c r="E25" i="35" a="1"/>
  <c r="E25" i="35" s="1"/>
  <c r="B25" i="35"/>
  <c r="L25" i="35" s="1"/>
  <c r="H24" i="35"/>
  <c r="J24" i="35" s="1"/>
  <c r="F24" i="35"/>
  <c r="B24" i="35"/>
  <c r="E24" i="35" s="1" a="1"/>
  <c r="E24" i="35" s="1"/>
  <c r="H23" i="35"/>
  <c r="E23" i="35" a="1"/>
  <c r="E23" i="35" s="1"/>
  <c r="D23" i="35" a="1"/>
  <c r="D23" i="35" s="1"/>
  <c r="F23" i="35" s="1"/>
  <c r="B23" i="35"/>
  <c r="L23" i="35" s="1"/>
  <c r="H22" i="35"/>
  <c r="E22" i="35"/>
  <c r="E22" i="35" a="1"/>
  <c r="D22" i="35" a="1"/>
  <c r="D22" i="35" s="1"/>
  <c r="F22" i="35" s="1"/>
  <c r="B22" i="35"/>
  <c r="L22" i="35" s="1"/>
  <c r="H21" i="35"/>
  <c r="E21" i="35"/>
  <c r="E21" i="35" a="1"/>
  <c r="D21" i="35" a="1"/>
  <c r="D21" i="35" s="1"/>
  <c r="F21" i="35" s="1"/>
  <c r="B21" i="35"/>
  <c r="L20" i="35"/>
  <c r="H20" i="35"/>
  <c r="E20" i="35"/>
  <c r="E20" i="35" a="1"/>
  <c r="D20" i="35"/>
  <c r="F20" i="35" s="1"/>
  <c r="D20" i="35" a="1"/>
  <c r="B20" i="35"/>
  <c r="L19" i="35"/>
  <c r="H19" i="35"/>
  <c r="F19" i="35"/>
  <c r="B19" i="35"/>
  <c r="E19" i="35" s="1" a="1"/>
  <c r="E19" i="35" s="1"/>
  <c r="I24" i="35" l="1"/>
  <c r="I19" i="35"/>
  <c r="K19" i="35" s="1"/>
  <c r="J36" i="35"/>
  <c r="I36" i="35"/>
  <c r="J23" i="35"/>
  <c r="I23" i="35"/>
  <c r="J28" i="35"/>
  <c r="I28" i="35"/>
  <c r="F45" i="35"/>
  <c r="J30" i="35"/>
  <c r="I30" i="35"/>
  <c r="J29" i="35"/>
  <c r="I29" i="35"/>
  <c r="J38" i="35"/>
  <c r="I38" i="35"/>
  <c r="I20" i="35"/>
  <c r="J20" i="35"/>
  <c r="J47" i="35"/>
  <c r="I47" i="35"/>
  <c r="J44" i="35"/>
  <c r="I44" i="35"/>
  <c r="J37" i="35"/>
  <c r="I37" i="35"/>
  <c r="J46" i="35"/>
  <c r="I46" i="35"/>
  <c r="J22" i="35"/>
  <c r="I22" i="35"/>
  <c r="F39" i="35"/>
  <c r="J49" i="35"/>
  <c r="I49" i="35"/>
  <c r="I21" i="35"/>
  <c r="J21" i="35"/>
  <c r="F31" i="35"/>
  <c r="E41" i="35" a="1"/>
  <c r="E41" i="35" s="1"/>
  <c r="D26" i="35" a="1"/>
  <c r="D26" i="35" s="1"/>
  <c r="D34" i="35" a="1"/>
  <c r="D34" i="35" s="1"/>
  <c r="F34" i="35" s="1"/>
  <c r="D42" i="35" a="1"/>
  <c r="D42" i="35" s="1"/>
  <c r="F42" i="35" s="1"/>
  <c r="J19" i="35"/>
  <c r="D24" i="35" a="1"/>
  <c r="D24" i="35" s="1"/>
  <c r="E26" i="35" a="1"/>
  <c r="E26" i="35" s="1"/>
  <c r="D32" i="35" a="1"/>
  <c r="D32" i="35" s="1"/>
  <c r="F32" i="35" s="1"/>
  <c r="D40" i="35" a="1"/>
  <c r="D40" i="35" s="1"/>
  <c r="F40" i="35" s="1"/>
  <c r="L45" i="35"/>
  <c r="D48" i="35" a="1"/>
  <c r="D48" i="35" s="1"/>
  <c r="F48" i="35" s="1"/>
  <c r="D19" i="35" a="1"/>
  <c r="D19" i="35" s="1"/>
  <c r="L24" i="35"/>
  <c r="D27" i="35" a="1"/>
  <c r="D27" i="35" s="1"/>
  <c r="F27" i="35" s="1"/>
  <c r="L32" i="35"/>
  <c r="D35" i="35" a="1"/>
  <c r="D35" i="35" s="1"/>
  <c r="F35" i="35" s="1"/>
  <c r="L40" i="35"/>
  <c r="D43" i="35" a="1"/>
  <c r="D43" i="35" s="1"/>
  <c r="F43" i="35" s="1"/>
  <c r="L48" i="35"/>
  <c r="D25" i="35" a="1"/>
  <c r="D25" i="35" s="1"/>
  <c r="F25" i="35" s="1"/>
  <c r="D33" i="35" a="1"/>
  <c r="D33" i="35" s="1"/>
  <c r="F33" i="35" s="1"/>
  <c r="D41" i="35" a="1"/>
  <c r="D41" i="35" s="1"/>
  <c r="F41" i="35" s="1"/>
  <c r="H49" i="41"/>
  <c r="B49" i="41"/>
  <c r="D49" i="41" s="1" a="1"/>
  <c r="D49" i="41" s="1"/>
  <c r="H48" i="41"/>
  <c r="B48" i="41"/>
  <c r="E48" i="41" s="1" a="1"/>
  <c r="E48" i="41" s="1"/>
  <c r="E47" i="41" a="1"/>
  <c r="E47" i="41" s="1"/>
  <c r="D47" i="41" a="1"/>
  <c r="D47" i="41" s="1"/>
  <c r="F47" i="41" s="1"/>
  <c r="B47" i="41"/>
  <c r="L47" i="41" s="1"/>
  <c r="H46" i="41"/>
  <c r="E46" i="41"/>
  <c r="E46" i="41" a="1"/>
  <c r="D46" i="41" a="1"/>
  <c r="D46" i="41" s="1"/>
  <c r="F46" i="41" s="1"/>
  <c r="B46" i="41"/>
  <c r="H45" i="41"/>
  <c r="E45" i="41"/>
  <c r="E45" i="41" a="1"/>
  <c r="D45" i="41" a="1"/>
  <c r="D45" i="41" s="1"/>
  <c r="F45" i="41" s="1"/>
  <c r="B45" i="41"/>
  <c r="L45" i="41" s="1"/>
  <c r="L44" i="41"/>
  <c r="H44" i="41"/>
  <c r="D44" i="41" a="1"/>
  <c r="D44" i="41" s="1"/>
  <c r="B44" i="41"/>
  <c r="E44" i="41" s="1" a="1"/>
  <c r="E44" i="41" s="1"/>
  <c r="L43" i="41"/>
  <c r="H43" i="41"/>
  <c r="E43" i="41"/>
  <c r="E43" i="41" a="1"/>
  <c r="D43" i="41"/>
  <c r="F43" i="41" s="1"/>
  <c r="D43" i="41" a="1"/>
  <c r="B43" i="41"/>
  <c r="L42" i="41"/>
  <c r="H42" i="41"/>
  <c r="B42" i="41"/>
  <c r="E42" i="41" s="1" a="1"/>
  <c r="E42" i="41" s="1"/>
  <c r="H41" i="41"/>
  <c r="B41" i="41"/>
  <c r="L41" i="41" s="1"/>
  <c r="B40" i="41"/>
  <c r="E40" i="41" s="1" a="1"/>
  <c r="E40" i="41" s="1"/>
  <c r="H39" i="41"/>
  <c r="E39" i="41" a="1"/>
  <c r="E39" i="41" s="1"/>
  <c r="D39" i="41" a="1"/>
  <c r="D39" i="41" s="1"/>
  <c r="B39" i="41"/>
  <c r="H38" i="41"/>
  <c r="E38" i="41"/>
  <c r="E38" i="41" a="1"/>
  <c r="D38" i="41" a="1"/>
  <c r="D38" i="41" s="1"/>
  <c r="F38" i="41" s="1"/>
  <c r="B38" i="41"/>
  <c r="L38" i="41" s="1"/>
  <c r="L37" i="41"/>
  <c r="H37" i="41"/>
  <c r="E37" i="41"/>
  <c r="E37" i="41" a="1"/>
  <c r="D37" i="41" a="1"/>
  <c r="D37" i="41" s="1"/>
  <c r="F37" i="41" s="1"/>
  <c r="B37" i="41"/>
  <c r="L36" i="41"/>
  <c r="H36" i="41"/>
  <c r="D36" i="41"/>
  <c r="D36" i="41" a="1"/>
  <c r="B36" i="41"/>
  <c r="E36" i="41" s="1" a="1"/>
  <c r="E36" i="41" s="1"/>
  <c r="L35" i="41"/>
  <c r="H35" i="41"/>
  <c r="B35" i="41"/>
  <c r="E35" i="41" s="1" a="1"/>
  <c r="E35" i="41" s="1"/>
  <c r="L34" i="41"/>
  <c r="H34" i="41"/>
  <c r="B34" i="41"/>
  <c r="E34" i="41" s="1" a="1"/>
  <c r="E34" i="41" s="1"/>
  <c r="B33" i="41"/>
  <c r="L33" i="41" s="1"/>
  <c r="H32" i="41"/>
  <c r="B32" i="41"/>
  <c r="E32" i="41" s="1" a="1"/>
  <c r="E32" i="41" s="1"/>
  <c r="H31" i="41"/>
  <c r="E31" i="41" a="1"/>
  <c r="E31" i="41" s="1"/>
  <c r="D31" i="41" a="1"/>
  <c r="D31" i="41" s="1"/>
  <c r="B31" i="41"/>
  <c r="L31" i="41" s="1"/>
  <c r="H30" i="41"/>
  <c r="E30" i="41"/>
  <c r="E30" i="41" a="1"/>
  <c r="D30" i="41" a="1"/>
  <c r="D30" i="41" s="1"/>
  <c r="F30" i="41" s="1"/>
  <c r="B30" i="41"/>
  <c r="L30" i="41" s="1"/>
  <c r="L29" i="41"/>
  <c r="H29" i="41"/>
  <c r="E29" i="41"/>
  <c r="E29" i="41" a="1"/>
  <c r="D29" i="41" a="1"/>
  <c r="D29" i="41" s="1"/>
  <c r="F29" i="41" s="1"/>
  <c r="B29" i="41"/>
  <c r="L28" i="41"/>
  <c r="H28" i="41"/>
  <c r="E28" i="41"/>
  <c r="E28" i="41" a="1"/>
  <c r="D28" i="41"/>
  <c r="F28" i="41" s="1"/>
  <c r="D28" i="41" a="1"/>
  <c r="B28" i="41"/>
  <c r="L27" i="41"/>
  <c r="H27" i="41"/>
  <c r="B27" i="41"/>
  <c r="E27" i="41" s="1" a="1"/>
  <c r="E27" i="41" s="1"/>
  <c r="L26" i="41"/>
  <c r="B26" i="41"/>
  <c r="E26" i="41" s="1" a="1"/>
  <c r="E26" i="41" s="1"/>
  <c r="H25" i="41"/>
  <c r="B25" i="41"/>
  <c r="H24" i="41"/>
  <c r="F24" i="41"/>
  <c r="B24" i="41"/>
  <c r="H23" i="41"/>
  <c r="E23" i="41" a="1"/>
  <c r="E23" i="41" s="1"/>
  <c r="D23" i="41" a="1"/>
  <c r="D23" i="41" s="1"/>
  <c r="F23" i="41" s="1"/>
  <c r="B23" i="41"/>
  <c r="L23" i="41" s="1"/>
  <c r="H22" i="41"/>
  <c r="E22" i="41"/>
  <c r="E22" i="41" a="1"/>
  <c r="D22" i="41" a="1"/>
  <c r="D22" i="41" s="1"/>
  <c r="F22" i="41" s="1"/>
  <c r="B22" i="41"/>
  <c r="L22" i="41" s="1"/>
  <c r="L21" i="41"/>
  <c r="H21" i="41"/>
  <c r="E21" i="41"/>
  <c r="E21" i="41" a="1"/>
  <c r="D21" i="41" a="1"/>
  <c r="D21" i="41" s="1"/>
  <c r="F21" i="41" s="1"/>
  <c r="B21" i="41"/>
  <c r="L20" i="41"/>
  <c r="H20" i="41"/>
  <c r="E20" i="41"/>
  <c r="E20" i="41" a="1"/>
  <c r="D20" i="41"/>
  <c r="F20" i="41" s="1"/>
  <c r="D20" i="41" a="1"/>
  <c r="B20" i="41"/>
  <c r="L19" i="41"/>
  <c r="F19" i="41"/>
  <c r="B19" i="41"/>
  <c r="E19" i="41" s="1" a="1"/>
  <c r="E19" i="41" s="1"/>
  <c r="H49" i="36"/>
  <c r="B49" i="36"/>
  <c r="H48" i="36"/>
  <c r="B48" i="36"/>
  <c r="H47" i="36"/>
  <c r="B47" i="36"/>
  <c r="H46" i="36"/>
  <c r="B46" i="36"/>
  <c r="B45" i="36"/>
  <c r="H44" i="36"/>
  <c r="B44" i="36"/>
  <c r="H43" i="36"/>
  <c r="B43" i="36"/>
  <c r="H42" i="36"/>
  <c r="B42" i="36"/>
  <c r="H41" i="36"/>
  <c r="B41" i="36"/>
  <c r="H40" i="36"/>
  <c r="B40" i="36"/>
  <c r="H39" i="36"/>
  <c r="B39" i="36"/>
  <c r="B38" i="36"/>
  <c r="H37" i="36"/>
  <c r="B37" i="36"/>
  <c r="H36" i="36"/>
  <c r="B36" i="36"/>
  <c r="H35" i="36"/>
  <c r="B35" i="36"/>
  <c r="H34" i="36"/>
  <c r="B34" i="36"/>
  <c r="H33" i="36"/>
  <c r="B33" i="36"/>
  <c r="H32" i="36"/>
  <c r="B32" i="36"/>
  <c r="B31" i="36"/>
  <c r="H30" i="36"/>
  <c r="B30" i="36"/>
  <c r="H29" i="36"/>
  <c r="B29" i="36"/>
  <c r="H28" i="36"/>
  <c r="B28" i="36"/>
  <c r="H27" i="36"/>
  <c r="B27" i="36"/>
  <c r="H26" i="36"/>
  <c r="B26" i="36"/>
  <c r="H25" i="36"/>
  <c r="B25" i="36"/>
  <c r="B24" i="36"/>
  <c r="H23" i="36"/>
  <c r="B23" i="36"/>
  <c r="H22" i="36"/>
  <c r="B22" i="36"/>
  <c r="H21" i="36"/>
  <c r="B21" i="36"/>
  <c r="H20" i="36"/>
  <c r="B20" i="36"/>
  <c r="H19" i="36"/>
  <c r="B19" i="36"/>
  <c r="H49" i="40"/>
  <c r="B49" i="40"/>
  <c r="H48" i="40"/>
  <c r="B48" i="40"/>
  <c r="H47" i="40"/>
  <c r="B47" i="40"/>
  <c r="B46" i="40"/>
  <c r="H45" i="40"/>
  <c r="B45" i="40"/>
  <c r="H44" i="40"/>
  <c r="B44" i="40"/>
  <c r="H43" i="40"/>
  <c r="B43" i="40"/>
  <c r="H42" i="40"/>
  <c r="B42" i="40"/>
  <c r="H41" i="40"/>
  <c r="B41" i="40"/>
  <c r="H40" i="40"/>
  <c r="B40" i="40"/>
  <c r="B39" i="40"/>
  <c r="H38" i="40"/>
  <c r="B38" i="40"/>
  <c r="H37" i="40"/>
  <c r="B37" i="40"/>
  <c r="H36" i="40"/>
  <c r="B36" i="40"/>
  <c r="H35" i="40"/>
  <c r="B35" i="40"/>
  <c r="H34" i="40"/>
  <c r="B34" i="40"/>
  <c r="H33" i="40"/>
  <c r="B33" i="40"/>
  <c r="B32" i="40"/>
  <c r="H31" i="40"/>
  <c r="B31" i="40"/>
  <c r="H30" i="40"/>
  <c r="B30" i="40"/>
  <c r="H29" i="40"/>
  <c r="B29" i="40"/>
  <c r="H28" i="40"/>
  <c r="B28" i="40"/>
  <c r="H27" i="40"/>
  <c r="B27" i="40"/>
  <c r="H26" i="40"/>
  <c r="B26" i="40"/>
  <c r="B25" i="40"/>
  <c r="H24" i="40"/>
  <c r="B24" i="40"/>
  <c r="H23" i="40"/>
  <c r="B23" i="40"/>
  <c r="H22" i="40"/>
  <c r="B22" i="40"/>
  <c r="H21" i="40"/>
  <c r="B21" i="40"/>
  <c r="H20" i="40"/>
  <c r="B20" i="40"/>
  <c r="H19" i="40"/>
  <c r="B19" i="40"/>
  <c r="H49" i="32"/>
  <c r="B49" i="32"/>
  <c r="H48" i="32"/>
  <c r="B48" i="32"/>
  <c r="H47" i="32"/>
  <c r="B47" i="32"/>
  <c r="H46" i="32"/>
  <c r="B46" i="32"/>
  <c r="H45" i="32"/>
  <c r="B45" i="32"/>
  <c r="B44" i="32"/>
  <c r="H43" i="32"/>
  <c r="B43" i="32"/>
  <c r="H42" i="32"/>
  <c r="B42" i="32"/>
  <c r="H41" i="32"/>
  <c r="B41" i="32"/>
  <c r="H40" i="32"/>
  <c r="B40" i="32"/>
  <c r="H39" i="32"/>
  <c r="B39" i="32"/>
  <c r="H38" i="32"/>
  <c r="B38" i="32"/>
  <c r="B37" i="32"/>
  <c r="H36" i="32"/>
  <c r="B36" i="32"/>
  <c r="H35" i="32"/>
  <c r="B35" i="32"/>
  <c r="H34" i="32"/>
  <c r="B34" i="32"/>
  <c r="H33" i="32"/>
  <c r="B33" i="32"/>
  <c r="H32" i="32"/>
  <c r="B32" i="32"/>
  <c r="H31" i="32"/>
  <c r="B31" i="32"/>
  <c r="B30" i="32"/>
  <c r="H29" i="32"/>
  <c r="B29" i="32"/>
  <c r="H28" i="32"/>
  <c r="B28" i="32"/>
  <c r="H27" i="32"/>
  <c r="B27" i="32"/>
  <c r="H26" i="32"/>
  <c r="B26" i="32"/>
  <c r="H25" i="32"/>
  <c r="B25" i="32"/>
  <c r="H24" i="32"/>
  <c r="B24" i="32"/>
  <c r="B23" i="32"/>
  <c r="H22" i="32"/>
  <c r="B22" i="32"/>
  <c r="H21" i="32"/>
  <c r="B21" i="32"/>
  <c r="H20" i="32"/>
  <c r="B20" i="32"/>
  <c r="H19" i="32"/>
  <c r="F19" i="32"/>
  <c r="B19" i="32"/>
  <c r="B49" i="28"/>
  <c r="H48" i="28"/>
  <c r="B48" i="28"/>
  <c r="H47" i="28"/>
  <c r="B47" i="28"/>
  <c r="H46" i="28"/>
  <c r="B46" i="28"/>
  <c r="H45" i="28"/>
  <c r="B45" i="28"/>
  <c r="H44" i="28"/>
  <c r="B44" i="28"/>
  <c r="H43" i="28"/>
  <c r="B43" i="28"/>
  <c r="B42" i="28"/>
  <c r="H41" i="28"/>
  <c r="B41" i="28"/>
  <c r="H40" i="28"/>
  <c r="B40" i="28"/>
  <c r="H39" i="28"/>
  <c r="B39" i="28"/>
  <c r="H38" i="28"/>
  <c r="B38" i="28"/>
  <c r="H37" i="28"/>
  <c r="B37" i="28"/>
  <c r="H36" i="28"/>
  <c r="B36" i="28"/>
  <c r="B35" i="28"/>
  <c r="H34" i="28"/>
  <c r="B34" i="28"/>
  <c r="H33" i="28"/>
  <c r="B33" i="28"/>
  <c r="H32" i="28"/>
  <c r="B32" i="28"/>
  <c r="H31" i="28"/>
  <c r="B31" i="28"/>
  <c r="H30" i="28"/>
  <c r="B30" i="28"/>
  <c r="H29" i="28"/>
  <c r="B29" i="28"/>
  <c r="B28" i="28"/>
  <c r="H27" i="28"/>
  <c r="B27" i="28"/>
  <c r="H26" i="28"/>
  <c r="B26" i="28"/>
  <c r="H25" i="28"/>
  <c r="B25" i="28"/>
  <c r="H24" i="28"/>
  <c r="B24" i="28"/>
  <c r="H23" i="28"/>
  <c r="B23" i="28"/>
  <c r="H22" i="28"/>
  <c r="B22" i="28"/>
  <c r="B21" i="28"/>
  <c r="H20" i="28"/>
  <c r="B20" i="28"/>
  <c r="H19" i="28"/>
  <c r="B19" i="28"/>
  <c r="K20" i="35" l="1"/>
  <c r="K23" i="35"/>
  <c r="L21" i="35"/>
  <c r="J41" i="35"/>
  <c r="I41" i="35"/>
  <c r="J33" i="35"/>
  <c r="I33" i="35"/>
  <c r="I35" i="35"/>
  <c r="K41" i="35" s="1"/>
  <c r="J35" i="35"/>
  <c r="J48" i="35"/>
  <c r="I48" i="35"/>
  <c r="F26" i="35"/>
  <c r="J45" i="35"/>
  <c r="I45" i="35"/>
  <c r="I27" i="35"/>
  <c r="J27" i="35"/>
  <c r="J43" i="35"/>
  <c r="I43" i="35"/>
  <c r="K22" i="35"/>
  <c r="K21" i="35"/>
  <c r="K24" i="35"/>
  <c r="J39" i="35"/>
  <c r="I39" i="35"/>
  <c r="I34" i="35"/>
  <c r="J34" i="35"/>
  <c r="J25" i="35"/>
  <c r="I25" i="35"/>
  <c r="K25" i="35" s="1"/>
  <c r="J31" i="35"/>
  <c r="I31" i="35"/>
  <c r="J40" i="35"/>
  <c r="I40" i="35"/>
  <c r="I42" i="35"/>
  <c r="J42" i="35"/>
  <c r="J32" i="35"/>
  <c r="I32" i="35"/>
  <c r="J24" i="41"/>
  <c r="I24" i="41"/>
  <c r="J20" i="41"/>
  <c r="I20" i="41"/>
  <c r="F39" i="41"/>
  <c r="J29" i="41"/>
  <c r="I29" i="41"/>
  <c r="J23" i="41"/>
  <c r="I23" i="41"/>
  <c r="J28" i="41"/>
  <c r="I28" i="41"/>
  <c r="F36" i="41"/>
  <c r="F31" i="41"/>
  <c r="F44" i="41"/>
  <c r="J38" i="41"/>
  <c r="I38" i="41"/>
  <c r="J46" i="41"/>
  <c r="I46" i="41"/>
  <c r="J22" i="41"/>
  <c r="I22" i="41"/>
  <c r="I43" i="41"/>
  <c r="J43" i="41"/>
  <c r="J30" i="41"/>
  <c r="I30" i="41"/>
  <c r="J37" i="41"/>
  <c r="I37" i="41"/>
  <c r="F49" i="41"/>
  <c r="J21" i="41"/>
  <c r="I21" i="41"/>
  <c r="J45" i="41"/>
  <c r="I45" i="41"/>
  <c r="E25" i="41" a="1"/>
  <c r="E25" i="41" s="1"/>
  <c r="E33" i="41" a="1"/>
  <c r="E33" i="41" s="1"/>
  <c r="E41" i="41" a="1"/>
  <c r="E41" i="41" s="1"/>
  <c r="E49" i="41" a="1"/>
  <c r="E49" i="41" s="1"/>
  <c r="D26" i="41" a="1"/>
  <c r="D26" i="41" s="1"/>
  <c r="F26" i="41" s="1"/>
  <c r="D34" i="41" a="1"/>
  <c r="D34" i="41" s="1"/>
  <c r="F34" i="41" s="1"/>
  <c r="D42" i="41" a="1"/>
  <c r="D42" i="41" s="1"/>
  <c r="F42" i="41" s="1"/>
  <c r="D24" i="41" a="1"/>
  <c r="D24" i="41" s="1"/>
  <c r="D32" i="41" a="1"/>
  <c r="D32" i="41" s="1"/>
  <c r="F32" i="41" s="1"/>
  <c r="D40" i="41" a="1"/>
  <c r="D40" i="41" s="1"/>
  <c r="F40" i="41" s="1"/>
  <c r="D48" i="41" a="1"/>
  <c r="D48" i="41" s="1"/>
  <c r="F48" i="41" s="1"/>
  <c r="D19" i="41" a="1"/>
  <c r="D19" i="41" s="1"/>
  <c r="L24" i="41"/>
  <c r="D27" i="41" a="1"/>
  <c r="D27" i="41" s="1"/>
  <c r="F27" i="41" s="1"/>
  <c r="D35" i="41" a="1"/>
  <c r="D35" i="41" s="1"/>
  <c r="F35" i="41" s="1"/>
  <c r="L40" i="41"/>
  <c r="L48" i="41"/>
  <c r="E24" i="41" a="1"/>
  <c r="E24" i="41" s="1"/>
  <c r="D25" i="41" a="1"/>
  <c r="D25" i="41" s="1"/>
  <c r="D33" i="41" a="1"/>
  <c r="D33" i="41" s="1"/>
  <c r="F33" i="41" s="1"/>
  <c r="D41" i="41" a="1"/>
  <c r="D41" i="41" s="1"/>
  <c r="F21" i="36"/>
  <c r="F47" i="32"/>
  <c r="H48" i="37"/>
  <c r="B48" i="37"/>
  <c r="H47" i="37"/>
  <c r="B47" i="37"/>
  <c r="H46" i="37"/>
  <c r="B46" i="37"/>
  <c r="H45" i="37"/>
  <c r="B45" i="37"/>
  <c r="H44" i="37"/>
  <c r="B44" i="37"/>
  <c r="H43" i="37"/>
  <c r="B43" i="37"/>
  <c r="B42" i="37"/>
  <c r="H41" i="37"/>
  <c r="B41" i="37"/>
  <c r="H40" i="37"/>
  <c r="B40" i="37"/>
  <c r="H39" i="37"/>
  <c r="B39" i="37"/>
  <c r="H38" i="37"/>
  <c r="B38" i="37"/>
  <c r="H37" i="37"/>
  <c r="B37" i="37"/>
  <c r="H36" i="37"/>
  <c r="B36" i="37"/>
  <c r="B35" i="37"/>
  <c r="H34" i="37"/>
  <c r="B34" i="37"/>
  <c r="H33" i="37"/>
  <c r="B33" i="37"/>
  <c r="H32" i="37"/>
  <c r="B32" i="37"/>
  <c r="H31" i="37"/>
  <c r="B31" i="37"/>
  <c r="H30" i="37"/>
  <c r="B30" i="37"/>
  <c r="H29" i="37"/>
  <c r="B29" i="37"/>
  <c r="B28" i="37"/>
  <c r="H27" i="37"/>
  <c r="B27" i="37"/>
  <c r="H26" i="37"/>
  <c r="B26" i="37"/>
  <c r="H25" i="37"/>
  <c r="B25" i="37"/>
  <c r="H24" i="37"/>
  <c r="B24" i="37"/>
  <c r="H23" i="37"/>
  <c r="B23" i="37"/>
  <c r="H22" i="37"/>
  <c r="B22" i="37"/>
  <c r="B21" i="37"/>
  <c r="H20" i="37"/>
  <c r="B20" i="37"/>
  <c r="H19" i="37"/>
  <c r="B19" i="37"/>
  <c r="H48" i="38"/>
  <c r="B48" i="38"/>
  <c r="B47" i="38"/>
  <c r="H46" i="38"/>
  <c r="B46" i="38"/>
  <c r="H45" i="38"/>
  <c r="B45" i="38"/>
  <c r="H44" i="38"/>
  <c r="B44" i="38"/>
  <c r="H43" i="38"/>
  <c r="B43" i="38"/>
  <c r="H42" i="38"/>
  <c r="B42" i="38"/>
  <c r="H41" i="38"/>
  <c r="B41" i="38"/>
  <c r="B40" i="38"/>
  <c r="H39" i="38"/>
  <c r="B39" i="38"/>
  <c r="H38" i="38"/>
  <c r="B38" i="38"/>
  <c r="H37" i="38"/>
  <c r="B37" i="38"/>
  <c r="H36" i="38"/>
  <c r="B36" i="38"/>
  <c r="H35" i="38"/>
  <c r="B35" i="38"/>
  <c r="H34" i="38"/>
  <c r="B34" i="38"/>
  <c r="B33" i="38"/>
  <c r="H32" i="38"/>
  <c r="B32" i="38"/>
  <c r="H31" i="38"/>
  <c r="B31" i="38"/>
  <c r="H30" i="38"/>
  <c r="B30" i="38"/>
  <c r="H29" i="38"/>
  <c r="B29" i="38"/>
  <c r="H28" i="38"/>
  <c r="B28" i="38"/>
  <c r="H27" i="38"/>
  <c r="B27" i="38"/>
  <c r="B26" i="38"/>
  <c r="H25" i="38"/>
  <c r="B25" i="38"/>
  <c r="H24" i="38"/>
  <c r="B24" i="38"/>
  <c r="H23" i="38"/>
  <c r="B23" i="38"/>
  <c r="H22" i="38"/>
  <c r="B22" i="38"/>
  <c r="H21" i="38"/>
  <c r="B21" i="38"/>
  <c r="H20" i="38"/>
  <c r="B20" i="38"/>
  <c r="B19" i="38"/>
  <c r="B48" i="33"/>
  <c r="H47" i="33"/>
  <c r="B47" i="33"/>
  <c r="H46" i="33"/>
  <c r="B46" i="33"/>
  <c r="H45" i="33"/>
  <c r="B45" i="33"/>
  <c r="H44" i="33"/>
  <c r="B44" i="33"/>
  <c r="H43" i="33"/>
  <c r="B43" i="33"/>
  <c r="H42" i="33"/>
  <c r="B42" i="33"/>
  <c r="B41" i="33"/>
  <c r="H40" i="33"/>
  <c r="B40" i="33"/>
  <c r="H39" i="33"/>
  <c r="B39" i="33"/>
  <c r="H38" i="33"/>
  <c r="B38" i="33"/>
  <c r="H37" i="33"/>
  <c r="B37" i="33"/>
  <c r="H36" i="33"/>
  <c r="B36" i="33"/>
  <c r="H35" i="33"/>
  <c r="B35" i="33"/>
  <c r="B34" i="33"/>
  <c r="H33" i="33"/>
  <c r="B33" i="33"/>
  <c r="H32" i="33"/>
  <c r="B32" i="33"/>
  <c r="H31" i="33"/>
  <c r="B31" i="33"/>
  <c r="H30" i="33"/>
  <c r="B30" i="33"/>
  <c r="H29" i="33"/>
  <c r="B29" i="33"/>
  <c r="H28" i="33"/>
  <c r="B28" i="33"/>
  <c r="H27" i="33"/>
  <c r="B27" i="33"/>
  <c r="H26" i="33"/>
  <c r="B26" i="33"/>
  <c r="H25" i="33"/>
  <c r="B25" i="33"/>
  <c r="H24" i="33"/>
  <c r="B24" i="33"/>
  <c r="H23" i="33"/>
  <c r="B23" i="33"/>
  <c r="H22" i="33"/>
  <c r="B22" i="33"/>
  <c r="H21" i="33"/>
  <c r="B21" i="33"/>
  <c r="B20" i="33"/>
  <c r="H19" i="33"/>
  <c r="B19" i="33"/>
  <c r="K49" i="35"/>
  <c r="L49" i="35"/>
  <c r="K45" i="35" l="1"/>
  <c r="K43" i="35"/>
  <c r="K42" i="35"/>
  <c r="K37" i="35"/>
  <c r="K35" i="35"/>
  <c r="K34" i="35"/>
  <c r="L35" i="35"/>
  <c r="K33" i="35"/>
  <c r="K39" i="35"/>
  <c r="K46" i="35"/>
  <c r="K47" i="35"/>
  <c r="K48" i="35"/>
  <c r="K40" i="35"/>
  <c r="I26" i="35"/>
  <c r="K29" i="35" s="1"/>
  <c r="J26" i="35"/>
  <c r="K31" i="35" s="1"/>
  <c r="K36" i="35"/>
  <c r="K38" i="35"/>
  <c r="K44" i="35"/>
  <c r="L42" i="35"/>
  <c r="J31" i="41"/>
  <c r="I31" i="41"/>
  <c r="I27" i="41"/>
  <c r="J27" i="41"/>
  <c r="J36" i="41"/>
  <c r="I36" i="41"/>
  <c r="J49" i="41"/>
  <c r="I49" i="41"/>
  <c r="J44" i="41"/>
  <c r="I44" i="41"/>
  <c r="I34" i="41"/>
  <c r="J34" i="41"/>
  <c r="F25" i="41"/>
  <c r="I32" i="41"/>
  <c r="J32" i="41"/>
  <c r="J35" i="41"/>
  <c r="I35" i="41"/>
  <c r="J39" i="41"/>
  <c r="I39" i="41"/>
  <c r="J48" i="41"/>
  <c r="I48" i="41"/>
  <c r="F41" i="41"/>
  <c r="I42" i="41"/>
  <c r="J42" i="41"/>
  <c r="H19" i="31"/>
  <c r="H20" i="31"/>
  <c r="H21" i="31"/>
  <c r="H22" i="31"/>
  <c r="H23" i="31"/>
  <c r="H24" i="31"/>
  <c r="H26" i="31"/>
  <c r="H27" i="31"/>
  <c r="H28" i="31"/>
  <c r="H29" i="31"/>
  <c r="H30" i="31"/>
  <c r="H31" i="31"/>
  <c r="H33" i="31"/>
  <c r="H34" i="31"/>
  <c r="H35" i="31"/>
  <c r="H37" i="31"/>
  <c r="H38" i="31"/>
  <c r="H39" i="31"/>
  <c r="H40" i="31"/>
  <c r="H41" i="31"/>
  <c r="H42" i="31"/>
  <c r="H43" i="31"/>
  <c r="H44" i="31"/>
  <c r="H45" i="31"/>
  <c r="H47" i="31"/>
  <c r="H48" i="31"/>
  <c r="H36" i="31"/>
  <c r="F36" i="31"/>
  <c r="F39" i="31"/>
  <c r="F19" i="30"/>
  <c r="K28" i="35" l="1"/>
  <c r="L28" i="35"/>
  <c r="K26" i="35"/>
  <c r="K32" i="35"/>
  <c r="K27" i="35"/>
  <c r="K30" i="35"/>
  <c r="J25" i="41"/>
  <c r="I25" i="41"/>
  <c r="J41" i="41"/>
  <c r="I41" i="41"/>
  <c r="F27" i="33"/>
  <c r="H25" i="30"/>
  <c r="H26" i="30"/>
  <c r="H27" i="30"/>
  <c r="H28" i="30"/>
  <c r="H29" i="30"/>
  <c r="H30" i="30"/>
  <c r="H32" i="30"/>
  <c r="H33" i="30"/>
  <c r="H34" i="30"/>
  <c r="H35" i="30"/>
  <c r="H36" i="30"/>
  <c r="H37" i="30"/>
  <c r="H39" i="30"/>
  <c r="H40" i="30"/>
  <c r="H41" i="30"/>
  <c r="H42" i="30"/>
  <c r="H43" i="30"/>
  <c r="H44" i="30"/>
  <c r="H46" i="30"/>
  <c r="H47" i="30"/>
  <c r="H48" i="30"/>
  <c r="H49" i="30"/>
  <c r="H19" i="30"/>
  <c r="H20" i="30"/>
  <c r="H21" i="30"/>
  <c r="H22" i="30"/>
  <c r="H23" i="30"/>
  <c r="H24" i="30"/>
  <c r="F24" i="30"/>
  <c r="N43" i="31" l="1"/>
  <c r="N36" i="30" l="1"/>
  <c r="N42" i="32"/>
  <c r="N41" i="32"/>
  <c r="N47" i="37"/>
  <c r="N46" i="37"/>
  <c r="N43" i="36"/>
  <c r="N42" i="36"/>
  <c r="N37" i="40"/>
  <c r="N36" i="40"/>
  <c r="N44" i="31"/>
  <c r="N35" i="30"/>
  <c r="D26" i="42" l="1"/>
  <c r="A49" i="37" l="1"/>
  <c r="E13" i="43" l="1"/>
  <c r="A5" i="42"/>
  <c r="A2" i="43" l="1"/>
  <c r="A8" i="43"/>
  <c r="A6" i="43"/>
  <c r="A5" i="43"/>
  <c r="A3" i="43"/>
  <c r="A7" i="43"/>
  <c r="A4" i="43"/>
  <c r="E43" i="36" l="1" a="1"/>
  <c r="E43" i="36" s="1"/>
  <c r="E49" i="36" a="1"/>
  <c r="E49" i="36" s="1"/>
  <c r="E35" i="36" a="1"/>
  <c r="E35" i="36" s="1"/>
  <c r="E23" i="36" a="1"/>
  <c r="E23" i="36" s="1"/>
  <c r="D35" i="36" a="1"/>
  <c r="D35" i="36" s="1"/>
  <c r="F35" i="36" s="1"/>
  <c r="D23" i="36" a="1"/>
  <c r="D23" i="36" s="1"/>
  <c r="F23" i="36" s="1"/>
  <c r="D46" i="36" a="1"/>
  <c r="D46" i="36" s="1"/>
  <c r="E45" i="36" a="1"/>
  <c r="E45" i="36" s="1"/>
  <c r="E29" i="36" a="1"/>
  <c r="E29" i="36" s="1"/>
  <c r="D37" i="36" a="1"/>
  <c r="D37" i="36" s="1"/>
  <c r="E31" i="36" a="1"/>
  <c r="E31" i="36" s="1"/>
  <c r="E21" i="36" a="1"/>
  <c r="E21" i="36" s="1"/>
  <c r="D31" i="36" a="1"/>
  <c r="D31" i="36" s="1"/>
  <c r="F31" i="36" s="1"/>
  <c r="D21" i="36" a="1"/>
  <c r="D21" i="36" s="1"/>
  <c r="E33" i="36" a="1"/>
  <c r="E33" i="36" s="1"/>
  <c r="E46" i="36" a="1"/>
  <c r="E46" i="36" s="1"/>
  <c r="D43" i="36" a="1"/>
  <c r="D43" i="36" s="1"/>
  <c r="F43" i="36" s="1"/>
  <c r="D27" i="36" a="1"/>
  <c r="D27" i="36" s="1"/>
  <c r="E32" i="36" a="1"/>
  <c r="E32" i="36" s="1"/>
  <c r="E41" i="36" a="1"/>
  <c r="E41" i="36" s="1"/>
  <c r="E22" i="36" a="1"/>
  <c r="E22" i="36" s="1"/>
  <c r="D33" i="36" a="1"/>
  <c r="D33" i="36" s="1"/>
  <c r="F33" i="36" s="1"/>
  <c r="D48" i="36" a="1"/>
  <c r="D48" i="36" s="1"/>
  <c r="D25" i="36" a="1"/>
  <c r="D25" i="36" s="1"/>
  <c r="D44" i="36" a="1"/>
  <c r="D44" i="36" s="1"/>
  <c r="D49" i="36" a="1"/>
  <c r="D49" i="36" s="1"/>
  <c r="F49" i="36" s="1"/>
  <c r="E26" i="36" a="1"/>
  <c r="E26" i="36" s="1"/>
  <c r="E30" i="36" a="1"/>
  <c r="E30" i="36" s="1"/>
  <c r="E38" i="36" a="1"/>
  <c r="E38" i="36" s="1"/>
  <c r="D34" i="36" a="1"/>
  <c r="D34" i="36" s="1"/>
  <c r="F34" i="36" s="1"/>
  <c r="E40" i="36" a="1"/>
  <c r="E40" i="36" s="1"/>
  <c r="D22" i="36" a="1"/>
  <c r="D22" i="36" s="1"/>
  <c r="E19" i="36" a="1"/>
  <c r="E19" i="36" s="1"/>
  <c r="D19" i="36" a="1"/>
  <c r="D19" i="36" s="1"/>
  <c r="F19" i="36" s="1"/>
  <c r="D45" i="36" a="1"/>
  <c r="D45" i="36" s="1"/>
  <c r="F45" i="36" s="1"/>
  <c r="E36" i="36" a="1"/>
  <c r="E36" i="36" s="1"/>
  <c r="D20" i="36" a="1"/>
  <c r="D20" i="36" s="1"/>
  <c r="F20" i="36" s="1"/>
  <c r="E27" i="36" a="1"/>
  <c r="E27" i="36" s="1"/>
  <c r="E42" i="36" a="1"/>
  <c r="E42" i="36" s="1"/>
  <c r="D42" i="36" a="1"/>
  <c r="D42" i="36" s="1"/>
  <c r="F42" i="36" s="1"/>
  <c r="D28" i="36" a="1"/>
  <c r="D28" i="36" s="1"/>
  <c r="E37" i="36" a="1"/>
  <c r="E37" i="36" s="1"/>
  <c r="E25" i="36" a="1"/>
  <c r="E25" i="36" s="1"/>
  <c r="D29" i="36" a="1"/>
  <c r="D29" i="36" s="1"/>
  <c r="E44" i="36" a="1"/>
  <c r="E44" i="36" s="1"/>
  <c r="D36" i="36" a="1"/>
  <c r="D36" i="36" s="1"/>
  <c r="F36" i="36" s="1"/>
  <c r="E24" i="36" a="1"/>
  <c r="E24" i="36" s="1"/>
  <c r="D47" i="36" a="1"/>
  <c r="D47" i="36" s="1"/>
  <c r="E34" i="36" a="1"/>
  <c r="E34" i="36" s="1"/>
  <c r="E20" i="36" a="1"/>
  <c r="E20" i="36" s="1"/>
  <c r="D32" i="36" a="1"/>
  <c r="D32" i="36" s="1"/>
  <c r="F32" i="36" s="1"/>
  <c r="D30" i="36" a="1"/>
  <c r="D30" i="36" s="1"/>
  <c r="F30" i="36" s="1"/>
  <c r="D24" i="36" a="1"/>
  <c r="D24" i="36" s="1"/>
  <c r="F24" i="36" s="1"/>
  <c r="E47" i="36" a="1"/>
  <c r="E47" i="36" s="1"/>
  <c r="D41" i="36" a="1"/>
  <c r="D41" i="36" s="1"/>
  <c r="F41" i="36" s="1"/>
  <c r="D39" i="36" a="1"/>
  <c r="D39" i="36" s="1"/>
  <c r="F39" i="36" s="1"/>
  <c r="D26" i="36" a="1"/>
  <c r="D26" i="36" s="1"/>
  <c r="F26" i="36" s="1"/>
  <c r="D40" i="36" a="1"/>
  <c r="D40" i="36" s="1"/>
  <c r="F40" i="36" s="1"/>
  <c r="D38" i="36" a="1"/>
  <c r="D38" i="36" s="1"/>
  <c r="E39" i="36" a="1"/>
  <c r="E39" i="36" s="1"/>
  <c r="E28" i="36" a="1"/>
  <c r="E28" i="36" s="1"/>
  <c r="E48" i="36" a="1"/>
  <c r="E48" i="36" s="1"/>
  <c r="I21" i="36"/>
  <c r="J21" i="36"/>
  <c r="L46" i="36"/>
  <c r="L43" i="36"/>
  <c r="L34" i="36"/>
  <c r="L31" i="36"/>
  <c r="L19" i="36"/>
  <c r="L28" i="36"/>
  <c r="L24" i="36"/>
  <c r="L38" i="36"/>
  <c r="L47" i="36"/>
  <c r="L27" i="36"/>
  <c r="L26" i="36"/>
  <c r="L35" i="36"/>
  <c r="L36" i="36"/>
  <c r="L32" i="36"/>
  <c r="L25" i="36"/>
  <c r="L29" i="36"/>
  <c r="L40" i="36"/>
  <c r="L39" i="36"/>
  <c r="L42" i="36"/>
  <c r="L33" i="36"/>
  <c r="L22" i="36"/>
  <c r="L48" i="36"/>
  <c r="L41" i="36"/>
  <c r="L45" i="36"/>
  <c r="L21" i="36"/>
  <c r="L20" i="36"/>
  <c r="D35" i="40" a="1"/>
  <c r="D35" i="40" s="1"/>
  <c r="D25" i="40" a="1"/>
  <c r="D25" i="40" s="1"/>
  <c r="E37" i="40" a="1"/>
  <c r="E37" i="40" s="1"/>
  <c r="D41" i="40" a="1"/>
  <c r="D41" i="40" s="1"/>
  <c r="E31" i="40" a="1"/>
  <c r="E31" i="40" s="1"/>
  <c r="D49" i="40" a="1"/>
  <c r="D49" i="40" s="1"/>
  <c r="E38" i="40" a="1"/>
  <c r="E38" i="40" s="1"/>
  <c r="E27" i="40" a="1"/>
  <c r="E27" i="40" s="1"/>
  <c r="E35" i="40" a="1"/>
  <c r="E35" i="40" s="1"/>
  <c r="D27" i="40" a="1"/>
  <c r="D27" i="40" s="1"/>
  <c r="D45" i="40" a="1"/>
  <c r="D45" i="40" s="1"/>
  <c r="D36" i="40" a="1"/>
  <c r="D36" i="40" s="1"/>
  <c r="D33" i="40" a="1"/>
  <c r="D33" i="40" s="1"/>
  <c r="E30" i="40" a="1"/>
  <c r="E30" i="40" s="1"/>
  <c r="D38" i="40" a="1"/>
  <c r="D38" i="40" s="1"/>
  <c r="F38" i="40" s="1"/>
  <c r="E21" i="40" a="1"/>
  <c r="E21" i="40" s="1"/>
  <c r="E19" i="40" a="1"/>
  <c r="E19" i="40" s="1"/>
  <c r="E47" i="40" a="1"/>
  <c r="E47" i="40" s="1"/>
  <c r="D47" i="40" a="1"/>
  <c r="D47" i="40" s="1"/>
  <c r="F47" i="40" s="1"/>
  <c r="D37" i="40" a="1"/>
  <c r="D37" i="40" s="1"/>
  <c r="D34" i="40" a="1"/>
  <c r="D34" i="40" s="1"/>
  <c r="D39" i="40" a="1"/>
  <c r="D39" i="40" s="1"/>
  <c r="D26" i="40" a="1"/>
  <c r="D26" i="40" s="1"/>
  <c r="E40" i="40" a="1"/>
  <c r="E40" i="40" s="1"/>
  <c r="E36" i="40" a="1"/>
  <c r="E36" i="40" s="1"/>
  <c r="D19" i="40" a="1"/>
  <c r="D19" i="40" s="1"/>
  <c r="E42" i="40" a="1"/>
  <c r="E42" i="40" s="1"/>
  <c r="E46" i="40" a="1"/>
  <c r="E46" i="40" s="1"/>
  <c r="E49" i="40" a="1"/>
  <c r="E49" i="40" s="1"/>
  <c r="D31" i="40" a="1"/>
  <c r="D31" i="40" s="1"/>
  <c r="D42" i="40" a="1"/>
  <c r="D42" i="40" s="1"/>
  <c r="E24" i="40" a="1"/>
  <c r="E24" i="40" s="1"/>
  <c r="D46" i="40" a="1"/>
  <c r="D46" i="40" s="1"/>
  <c r="E48" i="40" a="1"/>
  <c r="E48" i="40" s="1"/>
  <c r="E44" i="40" a="1"/>
  <c r="E44" i="40" s="1"/>
  <c r="D29" i="40" a="1"/>
  <c r="D29" i="40" s="1"/>
  <c r="E33" i="40" a="1"/>
  <c r="E33" i="40" s="1"/>
  <c r="F33" i="40" s="1"/>
  <c r="E41" i="40" a="1"/>
  <c r="E41" i="40" s="1"/>
  <c r="D24" i="40" a="1"/>
  <c r="D24" i="40" s="1"/>
  <c r="D22" i="40" a="1"/>
  <c r="D22" i="40" s="1"/>
  <c r="E23" i="40" a="1"/>
  <c r="E23" i="40" s="1"/>
  <c r="E22" i="40" a="1"/>
  <c r="E22" i="40" s="1"/>
  <c r="E45" i="40" a="1"/>
  <c r="E45" i="40" s="1"/>
  <c r="E25" i="40" a="1"/>
  <c r="E25" i="40" s="1"/>
  <c r="D32" i="40" a="1"/>
  <c r="D32" i="40" s="1"/>
  <c r="D30" i="40" a="1"/>
  <c r="D30" i="40" s="1"/>
  <c r="F30" i="40" s="1"/>
  <c r="E43" i="40" a="1"/>
  <c r="E43" i="40" s="1"/>
  <c r="E26" i="40" a="1"/>
  <c r="E26" i="40" s="1"/>
  <c r="E34" i="40" a="1"/>
  <c r="E34" i="40" s="1"/>
  <c r="D28" i="40" a="1"/>
  <c r="D28" i="40" s="1"/>
  <c r="D40" i="40" a="1"/>
  <c r="D40" i="40" s="1"/>
  <c r="D44" i="40" a="1"/>
  <c r="D44" i="40" s="1"/>
  <c r="D48" i="40" a="1"/>
  <c r="D48" i="40" s="1"/>
  <c r="F48" i="40" s="1"/>
  <c r="E32" i="40" a="1"/>
  <c r="E32" i="40" s="1"/>
  <c r="E20" i="40" a="1"/>
  <c r="E20" i="40" s="1"/>
  <c r="E29" i="40" a="1"/>
  <c r="E29" i="40" s="1"/>
  <c r="D21" i="40" a="1"/>
  <c r="D21" i="40" s="1"/>
  <c r="E28" i="40" a="1"/>
  <c r="E28" i="40" s="1"/>
  <c r="D43" i="40" a="1"/>
  <c r="D43" i="40" s="1"/>
  <c r="F43" i="40" s="1"/>
  <c r="D20" i="40" a="1"/>
  <c r="D20" i="40" s="1"/>
  <c r="F20" i="40" s="1"/>
  <c r="E39" i="40" a="1"/>
  <c r="E39" i="40" s="1"/>
  <c r="D23" i="40" a="1"/>
  <c r="D23" i="40" s="1"/>
  <c r="L19" i="40"/>
  <c r="L43" i="40"/>
  <c r="L26" i="40"/>
  <c r="L33" i="40"/>
  <c r="L42" i="40"/>
  <c r="L25" i="40"/>
  <c r="L37" i="40"/>
  <c r="L28" i="40"/>
  <c r="L32" i="40"/>
  <c r="L46" i="40"/>
  <c r="L41" i="40"/>
  <c r="L40" i="40"/>
  <c r="L35" i="40"/>
  <c r="L30" i="40"/>
  <c r="L47" i="40"/>
  <c r="L36" i="40"/>
  <c r="L48" i="40"/>
  <c r="L22" i="40"/>
  <c r="L27" i="40"/>
  <c r="L21" i="40"/>
  <c r="L29" i="40"/>
  <c r="L44" i="40"/>
  <c r="L23" i="40"/>
  <c r="L39" i="40"/>
  <c r="L34" i="40"/>
  <c r="L20" i="40"/>
  <c r="D46" i="32" a="1"/>
  <c r="D46" i="32" s="1"/>
  <c r="E19" i="32" a="1"/>
  <c r="E19" i="32" s="1"/>
  <c r="D23" i="32" a="1"/>
  <c r="D23" i="32" s="1"/>
  <c r="E45" i="32" a="1"/>
  <c r="E45" i="32" s="1"/>
  <c r="E37" i="32" a="1"/>
  <c r="E37" i="32" s="1"/>
  <c r="E31" i="32" a="1"/>
  <c r="E31" i="32" s="1"/>
  <c r="D44" i="32" a="1"/>
  <c r="D44" i="32" s="1"/>
  <c r="D27" i="32" a="1"/>
  <c r="D27" i="32" s="1"/>
  <c r="E46" i="32" a="1"/>
  <c r="E46" i="32" s="1"/>
  <c r="D29" i="32" a="1"/>
  <c r="D29" i="32" s="1"/>
  <c r="E27" i="32" a="1"/>
  <c r="E27" i="32" s="1"/>
  <c r="E49" i="32" a="1"/>
  <c r="E49" i="32" s="1"/>
  <c r="D37" i="32" a="1"/>
  <c r="D37" i="32" s="1"/>
  <c r="E44" i="32" a="1"/>
  <c r="E44" i="32" s="1"/>
  <c r="E42" i="32" a="1"/>
  <c r="E42" i="32" s="1"/>
  <c r="E28" i="32" a="1"/>
  <c r="E28" i="32" s="1"/>
  <c r="D32" i="32" a="1"/>
  <c r="D32" i="32" s="1"/>
  <c r="D19" i="32" a="1"/>
  <c r="D19" i="32" s="1"/>
  <c r="E43" i="32" a="1"/>
  <c r="E43" i="32" s="1"/>
  <c r="D49" i="32" a="1"/>
  <c r="D49" i="32" s="1"/>
  <c r="F49" i="32" s="1"/>
  <c r="D21" i="32" a="1"/>
  <c r="D21" i="32" s="1"/>
  <c r="F21" i="32" s="1"/>
  <c r="E47" i="32" a="1"/>
  <c r="E47" i="32" s="1"/>
  <c r="E41" i="32" a="1"/>
  <c r="E41" i="32" s="1"/>
  <c r="D34" i="32" a="1"/>
  <c r="D34" i="32" s="1"/>
  <c r="D40" i="32" a="1"/>
  <c r="D40" i="32" s="1"/>
  <c r="E21" i="32" a="1"/>
  <c r="E21" i="32" s="1"/>
  <c r="D39" i="32" a="1"/>
  <c r="D39" i="32" s="1"/>
  <c r="E38" i="32" a="1"/>
  <c r="E38" i="32" s="1"/>
  <c r="D45" i="32" a="1"/>
  <c r="D45" i="32" s="1"/>
  <c r="E23" i="32" a="1"/>
  <c r="E23" i="32" s="1"/>
  <c r="J19" i="32"/>
  <c r="E36" i="32" a="1"/>
  <c r="E36" i="32" s="1"/>
  <c r="D48" i="32" a="1"/>
  <c r="D48" i="32" s="1"/>
  <c r="E25" i="32" a="1"/>
  <c r="E25" i="32" s="1"/>
  <c r="D38" i="32" a="1"/>
  <c r="D38" i="32" s="1"/>
  <c r="E40" i="32" a="1"/>
  <c r="E40" i="32" s="1"/>
  <c r="E35" i="32" a="1"/>
  <c r="E35" i="32" s="1"/>
  <c r="D30" i="32" a="1"/>
  <c r="D30" i="32" s="1"/>
  <c r="E34" i="32" a="1"/>
  <c r="E34" i="32" s="1"/>
  <c r="E24" i="32" a="1"/>
  <c r="E24" i="32" s="1"/>
  <c r="D42" i="32" a="1"/>
  <c r="D42" i="32" s="1"/>
  <c r="D22" i="32" a="1"/>
  <c r="D22" i="32" s="1"/>
  <c r="E29" i="32" a="1"/>
  <c r="E29" i="32" s="1"/>
  <c r="E48" i="32" a="1"/>
  <c r="E48" i="32" s="1"/>
  <c r="D47" i="32" a="1"/>
  <c r="D47" i="32" s="1"/>
  <c r="I19" i="32"/>
  <c r="D35" i="32" a="1"/>
  <c r="D35" i="32" s="1"/>
  <c r="E33" i="32" a="1"/>
  <c r="E33" i="32" s="1"/>
  <c r="E30" i="32" a="1"/>
  <c r="E30" i="32" s="1"/>
  <c r="E22" i="32" a="1"/>
  <c r="E22" i="32" s="1"/>
  <c r="E26" i="32" a="1"/>
  <c r="E26" i="32" s="1"/>
  <c r="D33" i="32" a="1"/>
  <c r="D33" i="32" s="1"/>
  <c r="D20" i="32" a="1"/>
  <c r="D20" i="32" s="1"/>
  <c r="D25" i="32" a="1"/>
  <c r="D25" i="32" s="1"/>
  <c r="E32" i="32" a="1"/>
  <c r="E32" i="32" s="1"/>
  <c r="E20" i="32" a="1"/>
  <c r="E20" i="32" s="1"/>
  <c r="D43" i="32" a="1"/>
  <c r="D43" i="32" s="1"/>
  <c r="D28" i="32" a="1"/>
  <c r="D28" i="32" s="1"/>
  <c r="D31" i="32" a="1"/>
  <c r="D31" i="32" s="1"/>
  <c r="F31" i="32" s="1"/>
  <c r="D41" i="32" a="1"/>
  <c r="D41" i="32" s="1"/>
  <c r="E39" i="32" a="1"/>
  <c r="E39" i="32" s="1"/>
  <c r="D26" i="32" a="1"/>
  <c r="D26" i="32" s="1"/>
  <c r="D24" i="32" a="1"/>
  <c r="D24" i="32" s="1"/>
  <c r="D36" i="32" a="1"/>
  <c r="D36" i="32" s="1"/>
  <c r="F36" i="32" s="1"/>
  <c r="J47" i="32"/>
  <c r="I47" i="32"/>
  <c r="L44" i="32"/>
  <c r="L38" i="32"/>
  <c r="L42" i="32"/>
  <c r="L27" i="32"/>
  <c r="L19" i="32"/>
  <c r="L25" i="32"/>
  <c r="L31" i="32"/>
  <c r="L24" i="32"/>
  <c r="L20" i="32"/>
  <c r="L32" i="32"/>
  <c r="L46" i="32"/>
  <c r="L28" i="32"/>
  <c r="L41" i="32"/>
  <c r="L39" i="32"/>
  <c r="L30" i="32"/>
  <c r="L35" i="32"/>
  <c r="L23" i="32"/>
  <c r="L26" i="32"/>
  <c r="L40" i="32"/>
  <c r="L37" i="32"/>
  <c r="L47" i="32"/>
  <c r="L33" i="32"/>
  <c r="L34" i="32"/>
  <c r="L45" i="32"/>
  <c r="L21" i="32"/>
  <c r="L48" i="32"/>
  <c r="L19" i="28"/>
  <c r="L29" i="28"/>
  <c r="L36" i="28"/>
  <c r="L32" i="28"/>
  <c r="L38" i="28"/>
  <c r="L33" i="28"/>
  <c r="L40" i="28"/>
  <c r="L46" i="28"/>
  <c r="L26" i="28"/>
  <c r="L43" i="28"/>
  <c r="L28" i="28"/>
  <c r="L22" i="28"/>
  <c r="L24" i="28"/>
  <c r="L37" i="28"/>
  <c r="L31" i="28"/>
  <c r="L23" i="28"/>
  <c r="L21" i="28"/>
  <c r="L35" i="28"/>
  <c r="L39" i="28"/>
  <c r="L42" i="28"/>
  <c r="L45" i="28"/>
  <c r="L44" i="28"/>
  <c r="L25" i="28"/>
  <c r="L47" i="28"/>
  <c r="L30" i="28"/>
  <c r="D40" i="28" a="1"/>
  <c r="D40" i="28" s="1"/>
  <c r="D36" i="28" a="1"/>
  <c r="D36" i="28" s="1"/>
  <c r="E33" i="28" a="1"/>
  <c r="E33" i="28" s="1"/>
  <c r="E24" i="28" a="1"/>
  <c r="E24" i="28" s="1"/>
  <c r="E32" i="28" a="1"/>
  <c r="E32" i="28" s="1"/>
  <c r="E30" i="28" a="1"/>
  <c r="E30" i="28" s="1"/>
  <c r="E48" i="28" a="1"/>
  <c r="E48" i="28" s="1"/>
  <c r="E46" i="28" a="1"/>
  <c r="E46" i="28" s="1"/>
  <c r="E25" i="28" a="1"/>
  <c r="E25" i="28" s="1"/>
  <c r="E38" i="28" a="1"/>
  <c r="E38" i="28" s="1"/>
  <c r="D19" i="28" a="1"/>
  <c r="D19" i="28" s="1"/>
  <c r="D44" i="28" a="1"/>
  <c r="D44" i="28" s="1"/>
  <c r="E40" i="28" a="1"/>
  <c r="E40" i="28" s="1"/>
  <c r="D46" i="28" a="1"/>
  <c r="D46" i="28" s="1"/>
  <c r="D48" i="28" a="1"/>
  <c r="D48" i="28" s="1"/>
  <c r="F48" i="28" s="1"/>
  <c r="D30" i="28" a="1"/>
  <c r="D30" i="28" s="1"/>
  <c r="E36" i="28" a="1"/>
  <c r="E36" i="28" s="1"/>
  <c r="D32" i="28" a="1"/>
  <c r="D32" i="28" s="1"/>
  <c r="F32" i="28" s="1"/>
  <c r="D24" i="28" a="1"/>
  <c r="D24" i="28" s="1"/>
  <c r="E43" i="28" a="1"/>
  <c r="E43" i="28" s="1"/>
  <c r="D21" i="28" a="1"/>
  <c r="D21" i="28" s="1"/>
  <c r="D43" i="28" a="1"/>
  <c r="D43" i="28" s="1"/>
  <c r="D39" i="28" a="1"/>
  <c r="D39" i="28" s="1"/>
  <c r="E49" i="28" a="1"/>
  <c r="E49" i="28" s="1"/>
  <c r="D22" i="28" a="1"/>
  <c r="D22" i="28" s="1"/>
  <c r="D26" i="28" a="1"/>
  <c r="D26" i="28" s="1"/>
  <c r="D49" i="28" a="1"/>
  <c r="D49" i="28" s="1"/>
  <c r="E31" i="28" a="1"/>
  <c r="E31" i="28" s="1"/>
  <c r="D38" i="28" a="1"/>
  <c r="D38" i="28" s="1"/>
  <c r="E23" i="28" a="1"/>
  <c r="E23" i="28" s="1"/>
  <c r="E39" i="28" a="1"/>
  <c r="E39" i="28" s="1"/>
  <c r="D29" i="28" a="1"/>
  <c r="D29" i="28" s="1"/>
  <c r="D25" i="28" a="1"/>
  <c r="D25" i="28" s="1"/>
  <c r="F25" i="28" s="1"/>
  <c r="E34" i="28" a="1"/>
  <c r="E34" i="28" s="1"/>
  <c r="E21" i="28" a="1"/>
  <c r="E21" i="28" s="1"/>
  <c r="E28" i="28" a="1"/>
  <c r="E28" i="28" s="1"/>
  <c r="E35" i="28" a="1"/>
  <c r="E35" i="28" s="1"/>
  <c r="E26" i="28" a="1"/>
  <c r="E26" i="28" s="1"/>
  <c r="E42" i="28" a="1"/>
  <c r="E42" i="28" s="1"/>
  <c r="D20" i="28" a="1"/>
  <c r="D20" i="28" s="1"/>
  <c r="D34" i="28" a="1"/>
  <c r="D34" i="28" s="1"/>
  <c r="D37" i="28" a="1"/>
  <c r="D37" i="28" s="1"/>
  <c r="D33" i="28" a="1"/>
  <c r="D33" i="28" s="1"/>
  <c r="F33" i="28" s="1"/>
  <c r="E20" i="28" a="1"/>
  <c r="E20" i="28" s="1"/>
  <c r="E41" i="28" a="1"/>
  <c r="E41" i="28" s="1"/>
  <c r="E47" i="28" a="1"/>
  <c r="E47" i="28" s="1"/>
  <c r="E19" i="28" a="1"/>
  <c r="E19" i="28" s="1"/>
  <c r="D45" i="28" a="1"/>
  <c r="D45" i="28" s="1"/>
  <c r="D28" i="28" a="1"/>
  <c r="D28" i="28" s="1"/>
  <c r="D23" i="28" a="1"/>
  <c r="D23" i="28" s="1"/>
  <c r="E44" i="28" a="1"/>
  <c r="E44" i="28" s="1"/>
  <c r="D47" i="28" a="1"/>
  <c r="D47" i="28" s="1"/>
  <c r="E27" i="28" a="1"/>
  <c r="E27" i="28" s="1"/>
  <c r="D41" i="28" a="1"/>
  <c r="D41" i="28" s="1"/>
  <c r="E45" i="28" a="1"/>
  <c r="E45" i="28" s="1"/>
  <c r="D42" i="28" a="1"/>
  <c r="D42" i="28" s="1"/>
  <c r="D35" i="28" a="1"/>
  <c r="D35" i="28" s="1"/>
  <c r="F35" i="28" s="1"/>
  <c r="E37" i="28" a="1"/>
  <c r="E37" i="28" s="1"/>
  <c r="E29" i="28" a="1"/>
  <c r="E29" i="28" s="1"/>
  <c r="D31" i="28" a="1"/>
  <c r="D31" i="28" s="1"/>
  <c r="F31" i="28" s="1"/>
  <c r="D27" i="28" a="1"/>
  <c r="D27" i="28" s="1"/>
  <c r="F27" i="28" s="1"/>
  <c r="E22" i="28" a="1"/>
  <c r="E22" i="28" s="1"/>
  <c r="D31" i="37" a="1"/>
  <c r="D31" i="37" s="1"/>
  <c r="E29" i="37" a="1"/>
  <c r="E29" i="37" s="1"/>
  <c r="D27" i="37" a="1"/>
  <c r="D27" i="37" s="1"/>
  <c r="E22" i="37" a="1"/>
  <c r="E22" i="37" s="1"/>
  <c r="D29" i="37" a="1"/>
  <c r="D29" i="37" s="1"/>
  <c r="E24" i="37" a="1"/>
  <c r="E24" i="37" s="1"/>
  <c r="D19" i="37" a="1"/>
  <c r="D19" i="37" s="1"/>
  <c r="F19" i="37" s="1"/>
  <c r="D44" i="37" a="1"/>
  <c r="D44" i="37" s="1"/>
  <c r="D21" i="37" a="1"/>
  <c r="D21" i="37" s="1"/>
  <c r="E25" i="37" a="1"/>
  <c r="E25" i="37" s="1"/>
  <c r="E46" i="37" a="1"/>
  <c r="E46" i="37" s="1"/>
  <c r="E43" i="37" a="1"/>
  <c r="E43" i="37" s="1"/>
  <c r="D34" i="37" a="1"/>
  <c r="D34" i="37" s="1"/>
  <c r="E28" i="37" a="1"/>
  <c r="E28" i="37" s="1"/>
  <c r="E34" i="37" a="1"/>
  <c r="E34" i="37" s="1"/>
  <c r="D47" i="37" a="1"/>
  <c r="D47" i="37" s="1"/>
  <c r="D26" i="37" a="1"/>
  <c r="D26" i="37" s="1"/>
  <c r="E31" i="37" a="1"/>
  <c r="E31" i="37" s="1"/>
  <c r="E27" i="37" a="1"/>
  <c r="E27" i="37" s="1"/>
  <c r="D28" i="37" a="1"/>
  <c r="D28" i="37" s="1"/>
  <c r="D33" i="37" a="1"/>
  <c r="D33" i="37" s="1"/>
  <c r="D30" i="37" a="1"/>
  <c r="D30" i="37" s="1"/>
  <c r="E41" i="37" a="1"/>
  <c r="E41" i="37" s="1"/>
  <c r="E32" i="37" a="1"/>
  <c r="E32" i="37" s="1"/>
  <c r="D23" i="37" a="1"/>
  <c r="D23" i="37" s="1"/>
  <c r="D35" i="37" a="1"/>
  <c r="D35" i="37" s="1"/>
  <c r="D42" i="37" a="1"/>
  <c r="D42" i="37" s="1"/>
  <c r="E36" i="37" a="1"/>
  <c r="E36" i="37" s="1"/>
  <c r="E40" i="37" a="1"/>
  <c r="E40" i="37" s="1"/>
  <c r="D25" i="37" a="1"/>
  <c r="D25" i="37" s="1"/>
  <c r="E33" i="37" a="1"/>
  <c r="E33" i="37" s="1"/>
  <c r="D20" i="37" a="1"/>
  <c r="D20" i="37" s="1"/>
  <c r="E39" i="37" a="1"/>
  <c r="E39" i="37" s="1"/>
  <c r="D24" i="37" a="1"/>
  <c r="D24" i="37" s="1"/>
  <c r="E20" i="37" a="1"/>
  <c r="E20" i="37" s="1"/>
  <c r="D40" i="37" a="1"/>
  <c r="D40" i="37" s="1"/>
  <c r="E42" i="37" a="1"/>
  <c r="E42" i="37" s="1"/>
  <c r="D43" i="37" a="1"/>
  <c r="D43" i="37" s="1"/>
  <c r="E19" i="37" a="1"/>
  <c r="E19" i="37" s="1"/>
  <c r="D41" i="37" a="1"/>
  <c r="D41" i="37" s="1"/>
  <c r="D38" i="37" a="1"/>
  <c r="D38" i="37" s="1"/>
  <c r="E30" i="37" a="1"/>
  <c r="E30" i="37" s="1"/>
  <c r="E21" i="37" a="1"/>
  <c r="E21" i="37" s="1"/>
  <c r="D32" i="37" a="1"/>
  <c r="D32" i="37" s="1"/>
  <c r="D46" i="37" a="1"/>
  <c r="D46" i="37" s="1"/>
  <c r="E37" i="37" a="1"/>
  <c r="E37" i="37" s="1"/>
  <c r="E48" i="37" a="1"/>
  <c r="E48" i="37" s="1"/>
  <c r="E26" i="37" a="1"/>
  <c r="E26" i="37" s="1"/>
  <c r="D39" i="37" a="1"/>
  <c r="D39" i="37" s="1"/>
  <c r="F39" i="37" s="1"/>
  <c r="E44" i="37" a="1"/>
  <c r="E44" i="37" s="1"/>
  <c r="E38" i="37" a="1"/>
  <c r="E38" i="37" s="1"/>
  <c r="D36" i="37" a="1"/>
  <c r="D36" i="37" s="1"/>
  <c r="D45" i="37" a="1"/>
  <c r="D45" i="37" s="1"/>
  <c r="D37" i="37" a="1"/>
  <c r="D37" i="37" s="1"/>
  <c r="D48" i="37" a="1"/>
  <c r="D48" i="37" s="1"/>
  <c r="E45" i="37" a="1"/>
  <c r="E45" i="37" s="1"/>
  <c r="E35" i="37" a="1"/>
  <c r="E35" i="37" s="1"/>
  <c r="D22" i="37" a="1"/>
  <c r="D22" i="37" s="1"/>
  <c r="E23" i="37" a="1"/>
  <c r="E23" i="37" s="1"/>
  <c r="E47" i="37" a="1"/>
  <c r="E47" i="37" s="1"/>
  <c r="L22" i="37"/>
  <c r="L29" i="37"/>
  <c r="L32" i="37"/>
  <c r="L30" i="37"/>
  <c r="L25" i="37"/>
  <c r="L39" i="37"/>
  <c r="L45" i="37"/>
  <c r="L26" i="37"/>
  <c r="L23" i="37"/>
  <c r="L38" i="37"/>
  <c r="L24" i="37"/>
  <c r="L36" i="37"/>
  <c r="L40" i="37"/>
  <c r="L35" i="37"/>
  <c r="L21" i="37"/>
  <c r="L43" i="37"/>
  <c r="L33" i="37"/>
  <c r="L44" i="37"/>
  <c r="L46" i="37"/>
  <c r="L42" i="37"/>
  <c r="L19" i="37"/>
  <c r="L28" i="37"/>
  <c r="L47" i="37"/>
  <c r="L37" i="37"/>
  <c r="L31" i="37"/>
  <c r="E48" i="38" a="1"/>
  <c r="E48" i="38" s="1"/>
  <c r="E26" i="38" a="1"/>
  <c r="E26" i="38" s="1"/>
  <c r="E31" i="38" a="1"/>
  <c r="E31" i="38" s="1"/>
  <c r="D26" i="38" a="1"/>
  <c r="D26" i="38" s="1"/>
  <c r="E36" i="38" a="1"/>
  <c r="E36" i="38" s="1"/>
  <c r="D34" i="38" a="1"/>
  <c r="D34" i="38" s="1"/>
  <c r="D24" i="38" a="1"/>
  <c r="D24" i="38" s="1"/>
  <c r="E42" i="38" a="1"/>
  <c r="E42" i="38" s="1"/>
  <c r="E23" i="38" a="1"/>
  <c r="E23" i="38" s="1"/>
  <c r="E20" i="38" a="1"/>
  <c r="E20" i="38" s="1"/>
  <c r="E34" i="38" a="1"/>
  <c r="E34" i="38" s="1"/>
  <c r="E24" i="38" a="1"/>
  <c r="E24" i="38" s="1"/>
  <c r="E47" i="38" a="1"/>
  <c r="E47" i="38" s="1"/>
  <c r="D28" i="38" a="1"/>
  <c r="D28" i="38" s="1"/>
  <c r="D46" i="38" a="1"/>
  <c r="D46" i="38" s="1"/>
  <c r="E41" i="38" a="1"/>
  <c r="E41" i="38" s="1"/>
  <c r="D22" i="38" a="1"/>
  <c r="D22" i="38" s="1"/>
  <c r="D32" i="38" a="1"/>
  <c r="D32" i="38" s="1"/>
  <c r="D31" i="38" a="1"/>
  <c r="D31" i="38" s="1"/>
  <c r="F31" i="38" s="1"/>
  <c r="D36" i="38" a="1"/>
  <c r="D36" i="38" s="1"/>
  <c r="D30" i="38" a="1"/>
  <c r="D30" i="38" s="1"/>
  <c r="E32" i="38" a="1"/>
  <c r="E32" i="38" s="1"/>
  <c r="D48" i="38" a="1"/>
  <c r="D48" i="38" s="1"/>
  <c r="D38" i="38" a="1"/>
  <c r="D38" i="38" s="1"/>
  <c r="E38" i="38" a="1"/>
  <c r="E38" i="38" s="1"/>
  <c r="D29" i="38" a="1"/>
  <c r="D29" i="38" s="1"/>
  <c r="E29" i="38" a="1"/>
  <c r="E29" i="38" s="1"/>
  <c r="D41" i="38" a="1"/>
  <c r="D41" i="38" s="1"/>
  <c r="D44" i="38" a="1"/>
  <c r="D44" i="38" s="1"/>
  <c r="D39" i="38" a="1"/>
  <c r="D39" i="38" s="1"/>
  <c r="D40" i="38" a="1"/>
  <c r="D40" i="38" s="1"/>
  <c r="D19" i="38" a="1"/>
  <c r="D19" i="38" s="1"/>
  <c r="E46" i="38" a="1"/>
  <c r="E46" i="38" s="1"/>
  <c r="E35" i="38" a="1"/>
  <c r="E35" i="38" s="1"/>
  <c r="E37" i="38" a="1"/>
  <c r="E37" i="38" s="1"/>
  <c r="E25" i="38" a="1"/>
  <c r="E25" i="38" s="1"/>
  <c r="D37" i="38" a="1"/>
  <c r="D37" i="38" s="1"/>
  <c r="D25" i="38" a="1"/>
  <c r="D25" i="38" s="1"/>
  <c r="E19" i="38" a="1"/>
  <c r="E19" i="38" s="1"/>
  <c r="E39" i="38" a="1"/>
  <c r="E39" i="38" s="1"/>
  <c r="D42" i="38" a="1"/>
  <c r="D42" i="38" s="1"/>
  <c r="D35" i="38" a="1"/>
  <c r="D35" i="38" s="1"/>
  <c r="F35" i="38" s="1"/>
  <c r="D45" i="38" a="1"/>
  <c r="D45" i="38" s="1"/>
  <c r="D43" i="38" a="1"/>
  <c r="D43" i="38" s="1"/>
  <c r="D47" i="38" a="1"/>
  <c r="D47" i="38" s="1"/>
  <c r="F47" i="38" s="1"/>
  <c r="D20" i="38" a="1"/>
  <c r="D20" i="38" s="1"/>
  <c r="E45" i="38" a="1"/>
  <c r="E45" i="38" s="1"/>
  <c r="E40" i="38" a="1"/>
  <c r="E40" i="38" s="1"/>
  <c r="E33" i="38" a="1"/>
  <c r="E33" i="38" s="1"/>
  <c r="E43" i="38" a="1"/>
  <c r="E43" i="38" s="1"/>
  <c r="E28" i="38" a="1"/>
  <c r="E28" i="38" s="1"/>
  <c r="D33" i="38" a="1"/>
  <c r="D33" i="38" s="1"/>
  <c r="D21" i="38" a="1"/>
  <c r="D21" i="38" s="1"/>
  <c r="E27" i="38" a="1"/>
  <c r="E27" i="38" s="1"/>
  <c r="E21" i="38" a="1"/>
  <c r="E21" i="38" s="1"/>
  <c r="E44" i="38" a="1"/>
  <c r="E44" i="38" s="1"/>
  <c r="D23" i="38" a="1"/>
  <c r="D23" i="38" s="1"/>
  <c r="F23" i="38" s="1"/>
  <c r="D27" i="38" a="1"/>
  <c r="D27" i="38" s="1"/>
  <c r="E30" i="38" a="1"/>
  <c r="E30" i="38" s="1"/>
  <c r="E22" i="38" a="1"/>
  <c r="E22" i="38" s="1"/>
  <c r="L45" i="38"/>
  <c r="L23" i="38"/>
  <c r="L31" i="38"/>
  <c r="L21" i="38"/>
  <c r="L37" i="38"/>
  <c r="L26" i="38"/>
  <c r="L27" i="38"/>
  <c r="L24" i="38"/>
  <c r="L22" i="38"/>
  <c r="L41" i="38"/>
  <c r="L34" i="38"/>
  <c r="L35" i="38"/>
  <c r="L19" i="38"/>
  <c r="L33" i="38"/>
  <c r="L43" i="38"/>
  <c r="L42" i="38"/>
  <c r="L20" i="38"/>
  <c r="L29" i="38"/>
  <c r="L30" i="38"/>
  <c r="L28" i="38"/>
  <c r="L47" i="38"/>
  <c r="L36" i="38"/>
  <c r="L44" i="38"/>
  <c r="L40" i="38"/>
  <c r="L38" i="38"/>
  <c r="E38" i="33" a="1"/>
  <c r="E38" i="33" s="1"/>
  <c r="E20" i="33" a="1"/>
  <c r="E20" i="33" s="1"/>
  <c r="E36" i="33" a="1"/>
  <c r="E36" i="33" s="1"/>
  <c r="E28" i="33" a="1"/>
  <c r="E28" i="33" s="1"/>
  <c r="D24" i="33" a="1"/>
  <c r="D24" i="33" s="1"/>
  <c r="E48" i="33" a="1"/>
  <c r="E48" i="33" s="1"/>
  <c r="D32" i="33" a="1"/>
  <c r="D32" i="33" s="1"/>
  <c r="D25" i="33" a="1"/>
  <c r="D25" i="33" s="1"/>
  <c r="E41" i="33" a="1"/>
  <c r="E41" i="33" s="1"/>
  <c r="E35" i="33" a="1"/>
  <c r="E35" i="33" s="1"/>
  <c r="E21" i="33" a="1"/>
  <c r="E21" i="33" s="1"/>
  <c r="D42" i="33" a="1"/>
  <c r="D42" i="33" s="1"/>
  <c r="D27" i="33" a="1"/>
  <c r="D27" i="33" s="1"/>
  <c r="E23" i="33" a="1"/>
  <c r="E23" i="33" s="1"/>
  <c r="D35" i="33" a="1"/>
  <c r="D35" i="33" s="1"/>
  <c r="D43" i="33" a="1"/>
  <c r="D43" i="33" s="1"/>
  <c r="D20" i="33" a="1"/>
  <c r="D20" i="33" s="1"/>
  <c r="E31" i="33" a="1"/>
  <c r="E31" i="33" s="1"/>
  <c r="E44" i="33" a="1"/>
  <c r="E44" i="33" s="1"/>
  <c r="D40" i="33" a="1"/>
  <c r="D40" i="33" s="1"/>
  <c r="D37" i="33" a="1"/>
  <c r="D37" i="33" s="1"/>
  <c r="F37" i="33" s="1"/>
  <c r="E29" i="33" a="1"/>
  <c r="E29" i="33" s="1"/>
  <c r="E45" i="33" a="1"/>
  <c r="E45" i="33" s="1"/>
  <c r="D34" i="33" a="1"/>
  <c r="D34" i="33" s="1"/>
  <c r="E39" i="33" a="1"/>
  <c r="E39" i="33" s="1"/>
  <c r="E19" i="33" a="1"/>
  <c r="E19" i="33" s="1"/>
  <c r="D29" i="33" a="1"/>
  <c r="D29" i="33" s="1"/>
  <c r="E22" i="33" a="1"/>
  <c r="E22" i="33" s="1"/>
  <c r="D47" i="33" a="1"/>
  <c r="D47" i="33" s="1"/>
  <c r="D33" i="33" a="1"/>
  <c r="D33" i="33" s="1"/>
  <c r="D46" i="33" a="1"/>
  <c r="D46" i="33" s="1"/>
  <c r="E46" i="33" a="1"/>
  <c r="E46" i="33" s="1"/>
  <c r="E37" i="33" a="1"/>
  <c r="E37" i="33" s="1"/>
  <c r="D45" i="33" a="1"/>
  <c r="D45" i="33" s="1"/>
  <c r="D23" i="33" a="1"/>
  <c r="D23" i="33" s="1"/>
  <c r="D38" i="33" a="1"/>
  <c r="D38" i="33" s="1"/>
  <c r="D26" i="33" a="1"/>
  <c r="D26" i="33" s="1"/>
  <c r="D19" i="33" a="1"/>
  <c r="D19" i="33" s="1"/>
  <c r="D48" i="33" a="1"/>
  <c r="D48" i="33" s="1"/>
  <c r="E43" i="33" a="1"/>
  <c r="E43" i="33" s="1"/>
  <c r="F43" i="33" s="1"/>
  <c r="E34" i="33" a="1"/>
  <c r="E34" i="33" s="1"/>
  <c r="D30" i="33" a="1"/>
  <c r="D30" i="33" s="1"/>
  <c r="D21" i="33" a="1"/>
  <c r="D21" i="33" s="1"/>
  <c r="E26" i="33" a="1"/>
  <c r="E26" i="33" s="1"/>
  <c r="D22" i="33" a="1"/>
  <c r="D22" i="33" s="1"/>
  <c r="D28" i="33" a="1"/>
  <c r="D28" i="33" s="1"/>
  <c r="E25" i="33" a="1"/>
  <c r="E25" i="33" s="1"/>
  <c r="E30" i="33" a="1"/>
  <c r="E30" i="33" s="1"/>
  <c r="D41" i="33" a="1"/>
  <c r="D41" i="33" s="1"/>
  <c r="F41" i="33" s="1"/>
  <c r="E24" i="33" a="1"/>
  <c r="E24" i="33" s="1"/>
  <c r="E42" i="33" a="1"/>
  <c r="E42" i="33" s="1"/>
  <c r="D31" i="33" a="1"/>
  <c r="D31" i="33" s="1"/>
  <c r="D36" i="33" a="1"/>
  <c r="D36" i="33" s="1"/>
  <c r="D44" i="33" a="1"/>
  <c r="D44" i="33" s="1"/>
  <c r="E33" i="33" a="1"/>
  <c r="E33" i="33" s="1"/>
  <c r="E27" i="33" a="1"/>
  <c r="E27" i="33" s="1"/>
  <c r="E32" i="33" a="1"/>
  <c r="E32" i="33" s="1"/>
  <c r="D39" i="33" a="1"/>
  <c r="D39" i="33" s="1"/>
  <c r="E47" i="33" a="1"/>
  <c r="E47" i="33" s="1"/>
  <c r="E40" i="33" a="1"/>
  <c r="E40" i="33" s="1"/>
  <c r="J27" i="33" a="1"/>
  <c r="J27" i="33" s="1"/>
  <c r="I27" i="33" a="1"/>
  <c r="I27" i="33" s="1"/>
  <c r="L29" i="33"/>
  <c r="L21" i="33"/>
  <c r="L31" i="33"/>
  <c r="L23" i="33"/>
  <c r="L46" i="33"/>
  <c r="L28" i="33"/>
  <c r="L41" i="33"/>
  <c r="L39" i="33"/>
  <c r="L37" i="33"/>
  <c r="L27" i="33"/>
  <c r="L45" i="33"/>
  <c r="L32" i="33"/>
  <c r="L20" i="33"/>
  <c r="L25" i="33"/>
  <c r="L34" i="33"/>
  <c r="L44" i="33"/>
  <c r="L22" i="33"/>
  <c r="L36" i="33"/>
  <c r="L24" i="33"/>
  <c r="L42" i="33"/>
  <c r="L43" i="33"/>
  <c r="L30" i="33"/>
  <c r="L35" i="33"/>
  <c r="L38" i="33"/>
  <c r="E34" i="42"/>
  <c r="F38" i="32" l="1"/>
  <c r="F40" i="40"/>
  <c r="J39" i="36"/>
  <c r="I39" i="36"/>
  <c r="F47" i="36"/>
  <c r="I42" i="36"/>
  <c r="J42" i="36"/>
  <c r="F22" i="36"/>
  <c r="F25" i="36"/>
  <c r="F19" i="40"/>
  <c r="J41" i="36"/>
  <c r="I41" i="36"/>
  <c r="F48" i="36"/>
  <c r="F46" i="36"/>
  <c r="J36" i="36"/>
  <c r="I36" i="36"/>
  <c r="I23" i="36"/>
  <c r="J23" i="36"/>
  <c r="J20" i="36"/>
  <c r="I20" i="36"/>
  <c r="J35" i="36"/>
  <c r="I35" i="36"/>
  <c r="K19" i="32"/>
  <c r="F24" i="40"/>
  <c r="I30" i="36"/>
  <c r="J30" i="36"/>
  <c r="F29" i="36"/>
  <c r="J33" i="36"/>
  <c r="I33" i="36"/>
  <c r="F28" i="28"/>
  <c r="F38" i="36"/>
  <c r="J32" i="36"/>
  <c r="I32" i="36"/>
  <c r="J34" i="36"/>
  <c r="I34" i="36"/>
  <c r="F20" i="28"/>
  <c r="J40" i="36"/>
  <c r="I40" i="36"/>
  <c r="J19" i="36"/>
  <c r="I19" i="36"/>
  <c r="J49" i="36"/>
  <c r="I49" i="36"/>
  <c r="F27" i="36"/>
  <c r="F37" i="36"/>
  <c r="J26" i="36"/>
  <c r="I26" i="36"/>
  <c r="F28" i="36"/>
  <c r="F44" i="36"/>
  <c r="I43" i="36"/>
  <c r="J43" i="36"/>
  <c r="F37" i="32"/>
  <c r="F36" i="38"/>
  <c r="F37" i="40"/>
  <c r="F28" i="40"/>
  <c r="F46" i="40"/>
  <c r="F36" i="40"/>
  <c r="F27" i="32"/>
  <c r="F30" i="33"/>
  <c r="J30" i="33" s="1" a="1"/>
  <c r="J30" i="33" s="1"/>
  <c r="F23" i="28"/>
  <c r="F42" i="40"/>
  <c r="F22" i="28"/>
  <c r="I22" i="28" s="1"/>
  <c r="F40" i="28"/>
  <c r="F25" i="32"/>
  <c r="J25" i="32" s="1"/>
  <c r="F23" i="40"/>
  <c r="J23" i="40" s="1"/>
  <c r="F41" i="40"/>
  <c r="F31" i="40"/>
  <c r="F39" i="40"/>
  <c r="F22" i="37"/>
  <c r="F30" i="28"/>
  <c r="F26" i="32"/>
  <c r="I23" i="40"/>
  <c r="F49" i="40"/>
  <c r="F29" i="40"/>
  <c r="J38" i="40"/>
  <c r="I38" i="40"/>
  <c r="F46" i="33"/>
  <c r="F43" i="38"/>
  <c r="F26" i="38"/>
  <c r="F39" i="28"/>
  <c r="J39" i="28" s="1"/>
  <c r="F45" i="32"/>
  <c r="I45" i="32" s="1"/>
  <c r="F22" i="40"/>
  <c r="F34" i="40"/>
  <c r="J20" i="40"/>
  <c r="I20" i="40"/>
  <c r="J30" i="40"/>
  <c r="I30" i="40"/>
  <c r="I24" i="40"/>
  <c r="J24" i="40"/>
  <c r="J19" i="40"/>
  <c r="I19" i="40"/>
  <c r="I37" i="40"/>
  <c r="J37" i="40"/>
  <c r="J28" i="40"/>
  <c r="I28" i="40"/>
  <c r="F34" i="28"/>
  <c r="F38" i="28"/>
  <c r="I43" i="40"/>
  <c r="J43" i="40"/>
  <c r="I48" i="40"/>
  <c r="J48" i="40"/>
  <c r="F32" i="40"/>
  <c r="J41" i="40"/>
  <c r="I41" i="40"/>
  <c r="J36" i="40"/>
  <c r="I36" i="40"/>
  <c r="J47" i="40"/>
  <c r="I47" i="40"/>
  <c r="F45" i="40"/>
  <c r="I31" i="40"/>
  <c r="J31" i="40"/>
  <c r="F43" i="37"/>
  <c r="F28" i="32"/>
  <c r="F44" i="40"/>
  <c r="I33" i="40"/>
  <c r="J33" i="40"/>
  <c r="F27" i="40"/>
  <c r="F25" i="40"/>
  <c r="F42" i="32"/>
  <c r="J42" i="32" s="1"/>
  <c r="F48" i="32"/>
  <c r="J48" i="32" s="1"/>
  <c r="F40" i="32"/>
  <c r="I40" i="32" s="1"/>
  <c r="F21" i="40"/>
  <c r="J40" i="40"/>
  <c r="I40" i="40"/>
  <c r="I42" i="40"/>
  <c r="J42" i="40"/>
  <c r="F26" i="40"/>
  <c r="F35" i="40"/>
  <c r="J31" i="32"/>
  <c r="I31" i="32"/>
  <c r="I25" i="32"/>
  <c r="J27" i="32"/>
  <c r="I27" i="32"/>
  <c r="F29" i="28"/>
  <c r="I29" i="28" s="1"/>
  <c r="F34" i="32"/>
  <c r="F44" i="32"/>
  <c r="F43" i="28"/>
  <c r="I43" i="28" s="1"/>
  <c r="F24" i="32"/>
  <c r="J28" i="32"/>
  <c r="I28" i="32"/>
  <c r="F20" i="32"/>
  <c r="F22" i="32"/>
  <c r="I38" i="32"/>
  <c r="J38" i="32"/>
  <c r="F27" i="38"/>
  <c r="I26" i="32"/>
  <c r="J26" i="32"/>
  <c r="F43" i="32"/>
  <c r="F33" i="32"/>
  <c r="F39" i="32"/>
  <c r="F25" i="37"/>
  <c r="I21" i="32"/>
  <c r="J21" i="32"/>
  <c r="F32" i="32"/>
  <c r="F23" i="32"/>
  <c r="J36" i="32"/>
  <c r="I36" i="32"/>
  <c r="F38" i="33"/>
  <c r="F46" i="37"/>
  <c r="J46" i="37" s="1" a="1"/>
  <c r="J46" i="37" s="1"/>
  <c r="F29" i="37"/>
  <c r="J29" i="37" s="1" a="1"/>
  <c r="J29" i="37" s="1"/>
  <c r="F24" i="28"/>
  <c r="J24" i="28" s="1"/>
  <c r="F35" i="32"/>
  <c r="F29" i="32"/>
  <c r="F41" i="32"/>
  <c r="F30" i="32"/>
  <c r="J49" i="32"/>
  <c r="I49" i="32"/>
  <c r="F46" i="32"/>
  <c r="J34" i="28"/>
  <c r="I34" i="28"/>
  <c r="F42" i="28"/>
  <c r="F45" i="28"/>
  <c r="I20" i="28"/>
  <c r="J20" i="28"/>
  <c r="J29" i="28"/>
  <c r="J30" i="28"/>
  <c r="I30" i="28"/>
  <c r="F41" i="28"/>
  <c r="F46" i="28"/>
  <c r="J40" i="28"/>
  <c r="I40" i="28"/>
  <c r="F34" i="37"/>
  <c r="I34" i="37" s="1" a="1"/>
  <c r="I34" i="37" s="1"/>
  <c r="I27" i="28"/>
  <c r="J27" i="28"/>
  <c r="I38" i="28"/>
  <c r="J38" i="28"/>
  <c r="F21" i="28"/>
  <c r="I25" i="28"/>
  <c r="J25" i="28"/>
  <c r="J48" i="28"/>
  <c r="I48" i="28"/>
  <c r="F24" i="38"/>
  <c r="J24" i="38" s="1" a="1"/>
  <c r="J24" i="38" s="1"/>
  <c r="F47" i="37"/>
  <c r="J47" i="37" s="1" a="1"/>
  <c r="J47" i="37" s="1"/>
  <c r="F32" i="37"/>
  <c r="I32" i="37" s="1" a="1"/>
  <c r="I32" i="37" s="1"/>
  <c r="F40" i="37"/>
  <c r="I40" i="37" s="1" a="1"/>
  <c r="I40" i="37" s="1"/>
  <c r="J31" i="28"/>
  <c r="I31" i="28"/>
  <c r="F47" i="28"/>
  <c r="F44" i="28"/>
  <c r="F20" i="38"/>
  <c r="I20" i="38" s="1" a="1"/>
  <c r="I20" i="38" s="1"/>
  <c r="F20" i="37"/>
  <c r="I20" i="37" s="1" a="1"/>
  <c r="I20" i="37" s="1"/>
  <c r="F42" i="37"/>
  <c r="J33" i="28"/>
  <c r="I33" i="28"/>
  <c r="F49" i="28"/>
  <c r="F19" i="28"/>
  <c r="F24" i="37"/>
  <c r="I24" i="37" s="1" a="1"/>
  <c r="I24" i="37" s="1"/>
  <c r="F35" i="37"/>
  <c r="F31" i="37"/>
  <c r="I31" i="37" s="1" a="1"/>
  <c r="I31" i="37" s="1"/>
  <c r="I23" i="28"/>
  <c r="J23" i="28"/>
  <c r="F37" i="28"/>
  <c r="F26" i="28"/>
  <c r="J32" i="28"/>
  <c r="I32" i="28"/>
  <c r="F36" i="28"/>
  <c r="F19" i="38"/>
  <c r="F38" i="38"/>
  <c r="I38" i="38" s="1" a="1"/>
  <c r="I38" i="38" s="1"/>
  <c r="F44" i="37"/>
  <c r="F28" i="37"/>
  <c r="J19" i="37" a="1"/>
  <c r="J19" i="37" s="1"/>
  <c r="I19" i="37" a="1"/>
  <c r="I19" i="37" s="1"/>
  <c r="F31" i="33"/>
  <c r="I31" i="33" s="1" a="1"/>
  <c r="I31" i="33" s="1"/>
  <c r="F48" i="37"/>
  <c r="F38" i="37"/>
  <c r="F23" i="37"/>
  <c r="J31" i="37" a="1"/>
  <c r="J31" i="37" s="1"/>
  <c r="I29" i="37" a="1"/>
  <c r="I29" i="37" s="1"/>
  <c r="F37" i="38"/>
  <c r="J37" i="38" s="1" a="1"/>
  <c r="J37" i="38" s="1"/>
  <c r="F37" i="37"/>
  <c r="F41" i="37"/>
  <c r="F26" i="37"/>
  <c r="F46" i="38"/>
  <c r="I46" i="38" s="1" a="1"/>
  <c r="I46" i="38" s="1"/>
  <c r="F33" i="38"/>
  <c r="F45" i="37"/>
  <c r="F27" i="37"/>
  <c r="F48" i="38"/>
  <c r="I48" i="38" s="1" a="1"/>
  <c r="I48" i="38" s="1"/>
  <c r="F28" i="33"/>
  <c r="I28" i="33" s="1" a="1"/>
  <c r="I28" i="33" s="1"/>
  <c r="F23" i="33"/>
  <c r="I23" i="33" s="1" a="1"/>
  <c r="I23" i="33" s="1"/>
  <c r="I22" i="37" a="1"/>
  <c r="I22" i="37" s="1"/>
  <c r="J22" i="37" a="1"/>
  <c r="J22" i="37" s="1"/>
  <c r="F36" i="37"/>
  <c r="J43" i="37" a="1"/>
  <c r="J43" i="37" s="1"/>
  <c r="I43" i="37" a="1"/>
  <c r="I43" i="37" s="1"/>
  <c r="J25" i="37" a="1"/>
  <c r="J25" i="37" s="1"/>
  <c r="I25" i="37" a="1"/>
  <c r="I25" i="37" s="1"/>
  <c r="F30" i="37"/>
  <c r="J39" i="37" a="1"/>
  <c r="J39" i="37" s="1"/>
  <c r="I39" i="37" a="1"/>
  <c r="I39" i="37" s="1"/>
  <c r="F36" i="33"/>
  <c r="J36" i="33" s="1" a="1"/>
  <c r="J36" i="33" s="1"/>
  <c r="F22" i="33"/>
  <c r="J22" i="33" s="1" a="1"/>
  <c r="J22" i="33" s="1"/>
  <c r="F29" i="38"/>
  <c r="J29" i="38" s="1" a="1"/>
  <c r="J29" i="38" s="1"/>
  <c r="F33" i="37"/>
  <c r="F21" i="37"/>
  <c r="F40" i="38"/>
  <c r="I24" i="38" a="1"/>
  <c r="I24" i="38" s="1"/>
  <c r="F25" i="38"/>
  <c r="F39" i="38"/>
  <c r="F28" i="38"/>
  <c r="F34" i="38"/>
  <c r="F29" i="33"/>
  <c r="J29" i="33" s="1" a="1"/>
  <c r="J29" i="33" s="1"/>
  <c r="F21" i="38"/>
  <c r="F44" i="38"/>
  <c r="F30" i="38"/>
  <c r="I43" i="38" a="1"/>
  <c r="I43" i="38" s="1"/>
  <c r="J43" i="38" a="1"/>
  <c r="J43" i="38" s="1"/>
  <c r="F20" i="33"/>
  <c r="F45" i="38"/>
  <c r="J31" i="38" a="1"/>
  <c r="J31" i="38" s="1"/>
  <c r="I31" i="38" a="1"/>
  <c r="I31" i="38" s="1"/>
  <c r="F24" i="33"/>
  <c r="J24" i="33" s="1" a="1"/>
  <c r="J24" i="33" s="1"/>
  <c r="F41" i="38"/>
  <c r="J36" i="38" a="1"/>
  <c r="J36" i="38" s="1"/>
  <c r="I36" i="38" a="1"/>
  <c r="I36" i="38" s="1"/>
  <c r="J27" i="38" a="1"/>
  <c r="J27" i="38" s="1"/>
  <c r="I27" i="38" a="1"/>
  <c r="I27" i="38" s="1"/>
  <c r="I35" i="38" a="1"/>
  <c r="I35" i="38" s="1"/>
  <c r="J35" i="38" a="1"/>
  <c r="J35" i="38" s="1"/>
  <c r="F32" i="38"/>
  <c r="F35" i="33"/>
  <c r="J35" i="33" s="1" a="1"/>
  <c r="J35" i="33" s="1"/>
  <c r="J23" i="38" a="1"/>
  <c r="J23" i="38" s="1"/>
  <c r="I23" i="38" a="1"/>
  <c r="I23" i="38" s="1"/>
  <c r="F42" i="38"/>
  <c r="F22" i="38"/>
  <c r="F44" i="33"/>
  <c r="F47" i="33"/>
  <c r="I43" i="33" a="1"/>
  <c r="I43" i="33" s="1"/>
  <c r="J43" i="33" a="1"/>
  <c r="J43" i="33" s="1"/>
  <c r="F34" i="33"/>
  <c r="F42" i="33"/>
  <c r="F48" i="33"/>
  <c r="F33" i="33"/>
  <c r="J38" i="33" a="1"/>
  <c r="J38" i="33" s="1"/>
  <c r="I38" i="33" a="1"/>
  <c r="I38" i="33" s="1"/>
  <c r="F39" i="33"/>
  <c r="F19" i="33"/>
  <c r="F45" i="33"/>
  <c r="J46" i="33" a="1"/>
  <c r="J46" i="33" s="1"/>
  <c r="I46" i="33" a="1"/>
  <c r="I46" i="33" s="1"/>
  <c r="F26" i="33"/>
  <c r="J37" i="33" a="1"/>
  <c r="J37" i="33" s="1"/>
  <c r="I37" i="33" a="1"/>
  <c r="I37" i="33" s="1"/>
  <c r="F32" i="33"/>
  <c r="F21" i="33"/>
  <c r="F40" i="33"/>
  <c r="F25" i="33"/>
  <c r="E35" i="42"/>
  <c r="E57" i="30" s="1"/>
  <c r="E37" i="42"/>
  <c r="E58" i="30" s="1"/>
  <c r="E56" i="30"/>
  <c r="C30" i="42"/>
  <c r="J43" i="28" l="1"/>
  <c r="I30" i="33" a="1"/>
  <c r="I30" i="33" s="1"/>
  <c r="I39" i="28"/>
  <c r="J44" i="36"/>
  <c r="I44" i="36"/>
  <c r="K20" i="36"/>
  <c r="K19" i="36"/>
  <c r="K21" i="36"/>
  <c r="J28" i="36"/>
  <c r="I28" i="36"/>
  <c r="J29" i="36"/>
  <c r="I29" i="36"/>
  <c r="I47" i="36"/>
  <c r="J47" i="36"/>
  <c r="I46" i="36"/>
  <c r="J46" i="36"/>
  <c r="J34" i="37" a="1"/>
  <c r="J34" i="37" s="1"/>
  <c r="J48" i="36"/>
  <c r="I48" i="36"/>
  <c r="J37" i="36"/>
  <c r="I37" i="36"/>
  <c r="J27" i="36"/>
  <c r="I27" i="36"/>
  <c r="J25" i="36"/>
  <c r="I25" i="36"/>
  <c r="J22" i="36"/>
  <c r="I22" i="36"/>
  <c r="L23" i="36" s="1"/>
  <c r="I42" i="32"/>
  <c r="J22" i="28"/>
  <c r="J20" i="37" a="1"/>
  <c r="J20" i="37" s="1"/>
  <c r="I24" i="28"/>
  <c r="J29" i="40"/>
  <c r="I29" i="40"/>
  <c r="J44" i="40"/>
  <c r="I44" i="40"/>
  <c r="J48" i="38" a="1"/>
  <c r="J48" i="38" s="1"/>
  <c r="J45" i="32"/>
  <c r="I48" i="32"/>
  <c r="J35" i="40"/>
  <c r="I35" i="40"/>
  <c r="J21" i="40"/>
  <c r="I21" i="40"/>
  <c r="J45" i="40"/>
  <c r="I45" i="40"/>
  <c r="J49" i="40"/>
  <c r="I49" i="40"/>
  <c r="I26" i="40"/>
  <c r="J26" i="40"/>
  <c r="K19" i="40"/>
  <c r="K20" i="40"/>
  <c r="I34" i="40"/>
  <c r="J34" i="40"/>
  <c r="I46" i="37" a="1"/>
  <c r="I46" i="37" s="1"/>
  <c r="J40" i="32"/>
  <c r="J22" i="40"/>
  <c r="I22" i="40"/>
  <c r="I35" i="33" a="1"/>
  <c r="I35" i="33" s="1"/>
  <c r="J27" i="40"/>
  <c r="I27" i="40"/>
  <c r="J28" i="33" a="1"/>
  <c r="J28" i="33" s="1"/>
  <c r="J46" i="38" a="1"/>
  <c r="J46" i="38" s="1"/>
  <c r="I29" i="32"/>
  <c r="J29" i="32"/>
  <c r="I33" i="32"/>
  <c r="J33" i="32"/>
  <c r="I43" i="32"/>
  <c r="J43" i="32"/>
  <c r="J34" i="32"/>
  <c r="I34" i="32"/>
  <c r="J23" i="33" a="1"/>
  <c r="J23" i="33" s="1"/>
  <c r="J46" i="32"/>
  <c r="I46" i="32"/>
  <c r="I22" i="32"/>
  <c r="J22" i="32"/>
  <c r="J32" i="37" a="1"/>
  <c r="J32" i="37" s="1"/>
  <c r="J20" i="32"/>
  <c r="I20" i="32"/>
  <c r="I24" i="33" a="1"/>
  <c r="I24" i="33" s="1"/>
  <c r="J32" i="32"/>
  <c r="I32" i="32"/>
  <c r="I39" i="32"/>
  <c r="J39" i="32"/>
  <c r="J35" i="32"/>
  <c r="I35" i="32"/>
  <c r="I47" i="37" a="1"/>
  <c r="I47" i="37" s="1"/>
  <c r="J41" i="32"/>
  <c r="I41" i="32"/>
  <c r="I24" i="32"/>
  <c r="J24" i="32"/>
  <c r="J44" i="28"/>
  <c r="I44" i="28"/>
  <c r="I36" i="33" a="1"/>
  <c r="I36" i="33" s="1"/>
  <c r="J31" i="33" a="1"/>
  <c r="J31" i="33" s="1"/>
  <c r="J26" i="28"/>
  <c r="I26" i="28"/>
  <c r="I47" i="28"/>
  <c r="J47" i="28"/>
  <c r="J46" i="28"/>
  <c r="I46" i="28"/>
  <c r="I37" i="28"/>
  <c r="J37" i="28"/>
  <c r="J20" i="38" a="1"/>
  <c r="J20" i="38" s="1"/>
  <c r="J24" i="37" a="1"/>
  <c r="J24" i="37" s="1"/>
  <c r="J40" i="37" a="1"/>
  <c r="J40" i="37" s="1"/>
  <c r="J41" i="28"/>
  <c r="I41" i="28"/>
  <c r="I45" i="28"/>
  <c r="J45" i="28"/>
  <c r="I37" i="38" a="1"/>
  <c r="I37" i="38" s="1"/>
  <c r="J19" i="28"/>
  <c r="I19" i="28"/>
  <c r="J36" i="28"/>
  <c r="I36" i="28"/>
  <c r="J26" i="37" a="1"/>
  <c r="J26" i="37" s="1"/>
  <c r="I26" i="37" a="1"/>
  <c r="I26" i="37" s="1"/>
  <c r="I41" i="37" a="1"/>
  <c r="I41" i="37" s="1"/>
  <c r="J41" i="37" a="1"/>
  <c r="J41" i="37" s="1"/>
  <c r="J38" i="38" a="1"/>
  <c r="J38" i="38" s="1"/>
  <c r="K19" i="37"/>
  <c r="L20" i="37"/>
  <c r="K20" i="37"/>
  <c r="I22" i="33" a="1"/>
  <c r="I22" i="33" s="1"/>
  <c r="I33" i="37" a="1"/>
  <c r="I33" i="37" s="1"/>
  <c r="J33" i="37" a="1"/>
  <c r="J33" i="37" s="1"/>
  <c r="I27" i="37" a="1"/>
  <c r="I27" i="37" s="1"/>
  <c r="J27" i="37" a="1"/>
  <c r="J27" i="37" s="1"/>
  <c r="J23" i="37" a="1"/>
  <c r="J23" i="37" s="1"/>
  <c r="I23" i="37" a="1"/>
  <c r="I23" i="37" s="1"/>
  <c r="I29" i="38" a="1"/>
  <c r="I29" i="38" s="1"/>
  <c r="J38" i="37" a="1"/>
  <c r="J38" i="37" s="1"/>
  <c r="I38" i="37" a="1"/>
  <c r="I38" i="37" s="1"/>
  <c r="I44" i="37" a="1"/>
  <c r="I44" i="37" s="1"/>
  <c r="J44" i="37" a="1"/>
  <c r="J44" i="37" s="1"/>
  <c r="I36" i="37" a="1"/>
  <c r="I36" i="37" s="1"/>
  <c r="J36" i="37" a="1"/>
  <c r="J36" i="37" s="1"/>
  <c r="I37" i="37" a="1"/>
  <c r="I37" i="37" s="1"/>
  <c r="J37" i="37" a="1"/>
  <c r="J37" i="37" s="1"/>
  <c r="I29" i="33" a="1"/>
  <c r="I29" i="33" s="1"/>
  <c r="I30" i="37" a="1"/>
  <c r="I30" i="37" s="1"/>
  <c r="J30" i="37" a="1"/>
  <c r="J30" i="37" s="1"/>
  <c r="J45" i="37" a="1"/>
  <c r="J45" i="37" s="1"/>
  <c r="I45" i="37" a="1"/>
  <c r="I45" i="37" s="1"/>
  <c r="J48" i="37" a="1"/>
  <c r="J48" i="37" s="1"/>
  <c r="I48" i="37" a="1"/>
  <c r="I48" i="37" s="1"/>
  <c r="I22" i="38" a="1"/>
  <c r="I22" i="38" s="1"/>
  <c r="J22" i="38" a="1"/>
  <c r="J22" i="38" s="1"/>
  <c r="J25" i="38" a="1"/>
  <c r="J25" i="38" s="1"/>
  <c r="I25" i="38" a="1"/>
  <c r="I25" i="38" s="1"/>
  <c r="I41" i="38" a="1"/>
  <c r="I41" i="38" s="1"/>
  <c r="J41" i="38" a="1"/>
  <c r="J41" i="38" s="1"/>
  <c r="I28" i="38" a="1"/>
  <c r="I28" i="38" s="1"/>
  <c r="J28" i="38" a="1"/>
  <c r="J28" i="38" s="1"/>
  <c r="I21" i="38" a="1"/>
  <c r="I21" i="38" s="1"/>
  <c r="J21" i="38" a="1"/>
  <c r="J21" i="38" s="1"/>
  <c r="J39" i="38" a="1"/>
  <c r="J39" i="38" s="1"/>
  <c r="I39" i="38" a="1"/>
  <c r="I39" i="38" s="1"/>
  <c r="J30" i="38" a="1"/>
  <c r="J30" i="38" s="1"/>
  <c r="I30" i="38" a="1"/>
  <c r="I30" i="38" s="1"/>
  <c r="J42" i="38" a="1"/>
  <c r="J42" i="38" s="1"/>
  <c r="I42" i="38" a="1"/>
  <c r="I42" i="38" s="1"/>
  <c r="J32" i="38" a="1"/>
  <c r="J32" i="38" s="1"/>
  <c r="I32" i="38" a="1"/>
  <c r="I32" i="38" s="1"/>
  <c r="I44" i="38" a="1"/>
  <c r="I44" i="38" s="1"/>
  <c r="J44" i="38" a="1"/>
  <c r="J44" i="38" s="1"/>
  <c r="J45" i="38" a="1"/>
  <c r="J45" i="38" s="1"/>
  <c r="I45" i="38" a="1"/>
  <c r="I45" i="38" s="1"/>
  <c r="J34" i="38" a="1"/>
  <c r="J34" i="38" s="1"/>
  <c r="I34" i="38" a="1"/>
  <c r="I34" i="38" s="1"/>
  <c r="J33" i="33" a="1"/>
  <c r="J33" i="33" s="1"/>
  <c r="I33" i="33" a="1"/>
  <c r="I33" i="33" s="1"/>
  <c r="J39" i="33" a="1"/>
  <c r="J39" i="33" s="1"/>
  <c r="I39" i="33" a="1"/>
  <c r="I39" i="33" s="1"/>
  <c r="J42" i="33" a="1"/>
  <c r="J42" i="33" s="1"/>
  <c r="I42" i="33" a="1"/>
  <c r="I42" i="33" s="1"/>
  <c r="I47" i="33" a="1"/>
  <c r="I47" i="33" s="1"/>
  <c r="J47" i="33" a="1"/>
  <c r="J47" i="33" s="1"/>
  <c r="J21" i="33" a="1"/>
  <c r="J21" i="33" s="1"/>
  <c r="I21" i="33" a="1"/>
  <c r="I21" i="33" s="1"/>
  <c r="J45" i="33" a="1"/>
  <c r="J45" i="33" s="1"/>
  <c r="I45" i="33" a="1"/>
  <c r="I45" i="33" s="1"/>
  <c r="I44" i="33" a="1"/>
  <c r="I44" i="33" s="1"/>
  <c r="J44" i="33" a="1"/>
  <c r="J44" i="33" s="1"/>
  <c r="J25" i="33" a="1"/>
  <c r="J25" i="33" s="1"/>
  <c r="I25" i="33" a="1"/>
  <c r="I25" i="33" s="1"/>
  <c r="J19" i="33" a="1"/>
  <c r="J19" i="33" s="1"/>
  <c r="I19" i="33" a="1"/>
  <c r="I19" i="33" s="1"/>
  <c r="J26" i="33" a="1"/>
  <c r="J26" i="33" s="1"/>
  <c r="I26" i="33" a="1"/>
  <c r="I26" i="33" s="1"/>
  <c r="J40" i="33" a="1"/>
  <c r="J40" i="33" s="1"/>
  <c r="I40" i="33" a="1"/>
  <c r="I40" i="33" s="1"/>
  <c r="I32" i="33" a="1"/>
  <c r="I32" i="33" s="1"/>
  <c r="J32" i="33" a="1"/>
  <c r="J32" i="33" s="1"/>
  <c r="G56" i="30"/>
  <c r="G57" i="30"/>
  <c r="D18" i="42"/>
  <c r="K22" i="36" l="1"/>
  <c r="K23" i="36"/>
  <c r="K21" i="40"/>
  <c r="L24" i="40"/>
  <c r="K22" i="40"/>
  <c r="K23" i="40"/>
  <c r="K24" i="40"/>
  <c r="K30" i="33"/>
  <c r="L22" i="32"/>
  <c r="K20" i="32"/>
  <c r="K21" i="32"/>
  <c r="K22" i="32"/>
  <c r="K19" i="28"/>
  <c r="L20" i="28"/>
  <c r="K20" i="28"/>
  <c r="K31" i="33"/>
  <c r="K28" i="33"/>
  <c r="K32" i="33"/>
  <c r="L33" i="33"/>
  <c r="K19" i="33"/>
  <c r="L19" i="33"/>
  <c r="K33" i="33"/>
  <c r="K27" i="33"/>
  <c r="K29" i="33"/>
  <c r="G58" i="30"/>
  <c r="C33" i="42"/>
  <c r="B33" i="42"/>
  <c r="E58" i="41"/>
  <c r="E57" i="41"/>
  <c r="E56" i="41"/>
  <c r="G57" i="41" s="1"/>
  <c r="E57" i="37"/>
  <c r="E56" i="37"/>
  <c r="E55" i="37"/>
  <c r="G56" i="37" s="1"/>
  <c r="E58" i="36"/>
  <c r="E57" i="36"/>
  <c r="E56" i="36"/>
  <c r="E57" i="38"/>
  <c r="E56" i="38"/>
  <c r="E55" i="38"/>
  <c r="E58" i="35"/>
  <c r="E57" i="35"/>
  <c r="E56" i="35"/>
  <c r="G57" i="35" s="1"/>
  <c r="E58" i="40"/>
  <c r="E57" i="40"/>
  <c r="E56" i="40"/>
  <c r="G57" i="40" s="1"/>
  <c r="E57" i="33"/>
  <c r="E56" i="33"/>
  <c r="E55" i="33"/>
  <c r="G56" i="33" s="1"/>
  <c r="E58" i="32"/>
  <c r="E57" i="32"/>
  <c r="E56" i="32"/>
  <c r="G57" i="32" s="1"/>
  <c r="E57" i="31"/>
  <c r="E56" i="31"/>
  <c r="E55" i="31"/>
  <c r="G56" i="31" s="1"/>
  <c r="E58" i="28"/>
  <c r="E57" i="28"/>
  <c r="E56" i="28"/>
  <c r="E55" i="29"/>
  <c r="E54" i="29"/>
  <c r="E53" i="29"/>
  <c r="G57" i="36" l="1"/>
  <c r="G56" i="38"/>
  <c r="E54" i="38"/>
  <c r="G57" i="28"/>
  <c r="G54" i="29"/>
  <c r="J11" i="30" l="1"/>
  <c r="L58" i="41"/>
  <c r="L57" i="37"/>
  <c r="L58" i="36"/>
  <c r="L57" i="38"/>
  <c r="L58" i="35"/>
  <c r="L58" i="40"/>
  <c r="L57" i="33"/>
  <c r="L58" i="32"/>
  <c r="L57" i="31"/>
  <c r="L58" i="28"/>
  <c r="L55" i="29"/>
  <c r="A50" i="41"/>
  <c r="A50" i="36"/>
  <c r="A49" i="38"/>
  <c r="A50" i="35"/>
  <c r="A50" i="40"/>
  <c r="A49" i="33"/>
  <c r="A50" i="32"/>
  <c r="A49" i="31"/>
  <c r="A50" i="28"/>
  <c r="A47" i="29"/>
  <c r="L58" i="30"/>
  <c r="D14" i="42"/>
  <c r="C24" i="42" s="1"/>
  <c r="A6" i="42"/>
  <c r="A7" i="42" s="1"/>
  <c r="A8" i="42" s="1"/>
  <c r="A9" i="42" s="1"/>
  <c r="A10" i="42" s="1"/>
  <c r="C11" i="30"/>
  <c r="C11" i="29" s="1"/>
  <c r="C11" i="28" s="1"/>
  <c r="C11" i="31" s="1"/>
  <c r="C11" i="32" s="1"/>
  <c r="C11" i="33" s="1"/>
  <c r="C11" i="40" s="1"/>
  <c r="C11" i="35" s="1"/>
  <c r="C11" i="38" s="1"/>
  <c r="C11" i="36" s="1"/>
  <c r="C11" i="37" s="1"/>
  <c r="C11" i="41" s="1"/>
  <c r="C13" i="30"/>
  <c r="C13" i="29" s="1"/>
  <c r="C13" i="28" s="1"/>
  <c r="C13" i="31" s="1"/>
  <c r="C13" i="32" s="1"/>
  <c r="C13" i="33" s="1"/>
  <c r="C13" i="40" s="1"/>
  <c r="C13" i="35" s="1"/>
  <c r="C13" i="38" s="1"/>
  <c r="C13" i="36" s="1"/>
  <c r="C13" i="37" s="1"/>
  <c r="C13" i="41" s="1"/>
  <c r="H52" i="30"/>
  <c r="H49" i="29" s="1"/>
  <c r="H52" i="28" s="1"/>
  <c r="H53" i="30"/>
  <c r="H50" i="29" s="1"/>
  <c r="H53" i="28" s="1"/>
  <c r="H54" i="30"/>
  <c r="H51" i="29" s="1"/>
  <c r="H54" i="28" s="1"/>
  <c r="H55" i="30"/>
  <c r="H52" i="29" s="1"/>
  <c r="H55" i="28" s="1"/>
  <c r="H51" i="30"/>
  <c r="D24" i="42"/>
  <c r="D12" i="42"/>
  <c r="D11" i="42"/>
  <c r="D13" i="42" s="1"/>
  <c r="H31" i="30" l="1"/>
  <c r="H38" i="30"/>
  <c r="H45" i="30"/>
  <c r="H48" i="29"/>
  <c r="H51" i="28" s="1"/>
  <c r="H52" i="31"/>
  <c r="H53" i="31"/>
  <c r="H51" i="31"/>
  <c r="H54" i="31"/>
  <c r="I11" i="30"/>
  <c r="B22" i="30" s="1"/>
  <c r="C20" i="42"/>
  <c r="C23" i="42"/>
  <c r="C19" i="42"/>
  <c r="C21" i="42"/>
  <c r="C22" i="42"/>
  <c r="H58" i="30"/>
  <c r="B25" i="42"/>
  <c r="J11" i="31"/>
  <c r="J11" i="37"/>
  <c r="J11" i="29"/>
  <c r="J11" i="40"/>
  <c r="J11" i="36"/>
  <c r="J11" i="28"/>
  <c r="J11" i="33"/>
  <c r="J11" i="38"/>
  <c r="J11" i="41"/>
  <c r="J11" i="32"/>
  <c r="J11" i="35"/>
  <c r="A11" i="42"/>
  <c r="A12" i="42" s="1"/>
  <c r="A13" i="42" s="1"/>
  <c r="A14" i="42"/>
  <c r="H28" i="28" l="1"/>
  <c r="H42" i="28"/>
  <c r="H35" i="28"/>
  <c r="H49" i="28"/>
  <c r="H21" i="28"/>
  <c r="H55" i="29"/>
  <c r="H55" i="32"/>
  <c r="H54" i="33" s="1"/>
  <c r="H54" i="32"/>
  <c r="H53" i="32"/>
  <c r="H52" i="32"/>
  <c r="H52" i="33"/>
  <c r="B35" i="30"/>
  <c r="B40" i="30"/>
  <c r="B29" i="30"/>
  <c r="B28" i="30"/>
  <c r="B44" i="30"/>
  <c r="B32" i="30"/>
  <c r="I17" i="30"/>
  <c r="N16" i="30" s="1"/>
  <c r="B38" i="30"/>
  <c r="B19" i="30"/>
  <c r="B34" i="30"/>
  <c r="B25" i="30"/>
  <c r="B31" i="30"/>
  <c r="B24" i="30"/>
  <c r="B45" i="30"/>
  <c r="B27" i="30"/>
  <c r="B46" i="30"/>
  <c r="B39" i="30"/>
  <c r="B36" i="30"/>
  <c r="B37" i="30"/>
  <c r="I11" i="28"/>
  <c r="B49" i="30"/>
  <c r="B26" i="30"/>
  <c r="B48" i="30"/>
  <c r="B30" i="30"/>
  <c r="I11" i="40"/>
  <c r="I11" i="35"/>
  <c r="I11" i="32"/>
  <c r="I11" i="37"/>
  <c r="I11" i="41"/>
  <c r="I11" i="38"/>
  <c r="J17" i="30"/>
  <c r="B47" i="30"/>
  <c r="B21" i="30"/>
  <c r="B42" i="30"/>
  <c r="B33" i="30"/>
  <c r="I11" i="36"/>
  <c r="I11" i="33"/>
  <c r="B23" i="30"/>
  <c r="B20" i="30"/>
  <c r="B41" i="30"/>
  <c r="B43" i="30"/>
  <c r="I11" i="29"/>
  <c r="H19" i="29" s="1"/>
  <c r="H50" i="31"/>
  <c r="I11" i="31"/>
  <c r="B42" i="31" s="1"/>
  <c r="G53" i="29"/>
  <c r="G55" i="29" s="1"/>
  <c r="G56" i="28" s="1"/>
  <c r="G58" i="28" s="1"/>
  <c r="G55" i="31" s="1"/>
  <c r="G57" i="31" s="1"/>
  <c r="G56" i="32" s="1"/>
  <c r="G58" i="32" s="1"/>
  <c r="G55" i="33" s="1"/>
  <c r="G57" i="33" s="1"/>
  <c r="G56" i="40" s="1"/>
  <c r="G58" i="40" s="1"/>
  <c r="G56" i="35" s="1"/>
  <c r="G58" i="35" s="1"/>
  <c r="G55" i="38" s="1"/>
  <c r="G57" i="38" s="1"/>
  <c r="G56" i="36" s="1"/>
  <c r="G58" i="36" s="1"/>
  <c r="G55" i="37" s="1"/>
  <c r="G57" i="37" s="1"/>
  <c r="G56" i="41" s="1"/>
  <c r="G58" i="41" s="1"/>
  <c r="A15" i="42"/>
  <c r="A18" i="42"/>
  <c r="H58" i="28"/>
  <c r="H32" i="31" l="1"/>
  <c r="H25" i="31"/>
  <c r="H46" i="31"/>
  <c r="J21" i="28"/>
  <c r="I21" i="28"/>
  <c r="J49" i="28"/>
  <c r="I49" i="28"/>
  <c r="J35" i="28"/>
  <c r="I35" i="28"/>
  <c r="I42" i="28"/>
  <c r="J42" i="28"/>
  <c r="I28" i="28"/>
  <c r="J28" i="28"/>
  <c r="E41" i="30" a="1"/>
  <c r="E41" i="30" s="1"/>
  <c r="D41" i="30" a="1"/>
  <c r="D41" i="30" s="1"/>
  <c r="E49" i="30" a="1"/>
  <c r="E49" i="30" s="1"/>
  <c r="D49" i="30" a="1"/>
  <c r="D49" i="30" s="1"/>
  <c r="F49" i="30" s="1"/>
  <c r="J24" i="30"/>
  <c r="I24" i="30"/>
  <c r="E24" i="30" a="1"/>
  <c r="E24" i="30" s="1"/>
  <c r="D24" i="30" a="1"/>
  <c r="D24" i="30" s="1"/>
  <c r="E44" i="30" a="1"/>
  <c r="E44" i="30" s="1"/>
  <c r="D44" i="30" a="1"/>
  <c r="D44" i="30" s="1"/>
  <c r="E43" i="30" a="1"/>
  <c r="E43" i="30" s="1"/>
  <c r="D43" i="30" a="1"/>
  <c r="D43" i="30" s="1"/>
  <c r="F43" i="30" s="1"/>
  <c r="E42" i="31" a="1"/>
  <c r="E42" i="31" s="1"/>
  <c r="L42" i="31"/>
  <c r="D42" i="31" a="1"/>
  <c r="D42" i="31" s="1"/>
  <c r="E31" i="30" a="1"/>
  <c r="E31" i="30" s="1"/>
  <c r="D31" i="30" a="1"/>
  <c r="D31" i="30" s="1"/>
  <c r="D28" i="30" a="1"/>
  <c r="D28" i="30" s="1"/>
  <c r="E28" i="30" a="1"/>
  <c r="E28" i="30" s="1"/>
  <c r="E42" i="30" a="1"/>
  <c r="E42" i="30" s="1"/>
  <c r="D42" i="30" a="1"/>
  <c r="D42" i="30" s="1"/>
  <c r="D36" i="30" a="1"/>
  <c r="D36" i="30" s="1"/>
  <c r="E36" i="30" a="1"/>
  <c r="E36" i="30" s="1"/>
  <c r="D34" i="30" a="1"/>
  <c r="D34" i="30" s="1"/>
  <c r="E34" i="30" a="1"/>
  <c r="E34" i="30" s="1"/>
  <c r="D40" i="30" a="1"/>
  <c r="D40" i="30" s="1"/>
  <c r="E40" i="30" a="1"/>
  <c r="E40" i="30" s="1"/>
  <c r="D37" i="30" a="1"/>
  <c r="D37" i="30" s="1"/>
  <c r="E37" i="30" a="1"/>
  <c r="E37" i="30" s="1"/>
  <c r="D21" i="30" a="1"/>
  <c r="D21" i="30" s="1"/>
  <c r="E21" i="30" a="1"/>
  <c r="E21" i="30" s="1"/>
  <c r="E39" i="30" a="1"/>
  <c r="E39" i="30" s="1"/>
  <c r="D39" i="30" a="1"/>
  <c r="D39" i="30" s="1"/>
  <c r="J19" i="30"/>
  <c r="D19" i="30" a="1"/>
  <c r="D19" i="30" s="1"/>
  <c r="E19" i="30" a="1"/>
  <c r="E19" i="30" s="1"/>
  <c r="I19" i="30"/>
  <c r="D35" i="30" a="1"/>
  <c r="D35" i="30" s="1"/>
  <c r="E35" i="30" a="1"/>
  <c r="E35" i="30" s="1"/>
  <c r="E33" i="30" a="1"/>
  <c r="E33" i="30" s="1"/>
  <c r="D33" i="30" a="1"/>
  <c r="D33" i="30" s="1"/>
  <c r="D30" i="30" a="1"/>
  <c r="D30" i="30" s="1"/>
  <c r="E30" i="30" a="1"/>
  <c r="E30" i="30" s="1"/>
  <c r="D46" i="30" a="1"/>
  <c r="D46" i="30" s="1"/>
  <c r="E46" i="30" a="1"/>
  <c r="E46" i="30" s="1"/>
  <c r="D38" i="30" a="1"/>
  <c r="D38" i="30" s="1"/>
  <c r="E38" i="30" a="1"/>
  <c r="E38" i="30" s="1"/>
  <c r="E29" i="30" a="1"/>
  <c r="E29" i="30" s="1"/>
  <c r="D29" i="30" a="1"/>
  <c r="D29" i="30" s="1"/>
  <c r="D47" i="30" a="1"/>
  <c r="D47" i="30" s="1"/>
  <c r="E47" i="30" a="1"/>
  <c r="E47" i="30" s="1"/>
  <c r="D20" i="30" a="1"/>
  <c r="D20" i="30" s="1"/>
  <c r="E20" i="30" a="1"/>
  <c r="E20" i="30" s="1"/>
  <c r="E48" i="30" a="1"/>
  <c r="E48" i="30" s="1"/>
  <c r="D48" i="30" a="1"/>
  <c r="D48" i="30" s="1"/>
  <c r="D27" i="30" a="1"/>
  <c r="D27" i="30" s="1"/>
  <c r="E27" i="30" a="1"/>
  <c r="E27" i="30" s="1"/>
  <c r="E25" i="30" a="1"/>
  <c r="E25" i="30" s="1"/>
  <c r="D25" i="30" a="1"/>
  <c r="D25" i="30" s="1"/>
  <c r="E23" i="30" a="1"/>
  <c r="E23" i="30" s="1"/>
  <c r="D23" i="30" a="1"/>
  <c r="D23" i="30" s="1"/>
  <c r="D26" i="30" a="1"/>
  <c r="D26" i="30" s="1"/>
  <c r="E26" i="30" a="1"/>
  <c r="E26" i="30" s="1"/>
  <c r="E45" i="30" a="1"/>
  <c r="E45" i="30" s="1"/>
  <c r="D45" i="30" a="1"/>
  <c r="D45" i="30" s="1"/>
  <c r="E32" i="30" a="1"/>
  <c r="E32" i="30" s="1"/>
  <c r="D32" i="30" a="1"/>
  <c r="D32" i="30" s="1"/>
  <c r="H51" i="33"/>
  <c r="H37" i="29"/>
  <c r="H53" i="33"/>
  <c r="H53" i="40"/>
  <c r="H54" i="40"/>
  <c r="H51" i="32"/>
  <c r="H55" i="40"/>
  <c r="B26" i="31"/>
  <c r="N17" i="30"/>
  <c r="K17" i="30"/>
  <c r="N18" i="30"/>
  <c r="H29" i="29"/>
  <c r="B45" i="31"/>
  <c r="B33" i="31"/>
  <c r="B29" i="31"/>
  <c r="B47" i="31"/>
  <c r="B34" i="31"/>
  <c r="B21" i="31"/>
  <c r="B27" i="29"/>
  <c r="L19" i="30"/>
  <c r="B30" i="31"/>
  <c r="B19" i="31"/>
  <c r="B44" i="29"/>
  <c r="B45" i="29"/>
  <c r="H41" i="29"/>
  <c r="B30" i="29"/>
  <c r="B19" i="29"/>
  <c r="B43" i="29"/>
  <c r="B28" i="29"/>
  <c r="H27" i="29"/>
  <c r="H39" i="29"/>
  <c r="H33" i="29"/>
  <c r="B21" i="29"/>
  <c r="B34" i="29"/>
  <c r="B46" i="29"/>
  <c r="B42" i="29"/>
  <c r="H26" i="29"/>
  <c r="H42" i="29"/>
  <c r="H44" i="29"/>
  <c r="B26" i="29"/>
  <c r="B39" i="29"/>
  <c r="B29" i="29"/>
  <c r="B37" i="29"/>
  <c r="H28" i="29"/>
  <c r="H21" i="29"/>
  <c r="H35" i="29"/>
  <c r="B41" i="29"/>
  <c r="B32" i="29"/>
  <c r="B20" i="29"/>
  <c r="H38" i="29"/>
  <c r="H31" i="29"/>
  <c r="H24" i="29"/>
  <c r="B22" i="29"/>
  <c r="B38" i="29"/>
  <c r="B31" i="29"/>
  <c r="B24" i="29"/>
  <c r="H40" i="29"/>
  <c r="H25" i="29"/>
  <c r="B25" i="29"/>
  <c r="B35" i="29"/>
  <c r="B36" i="29"/>
  <c r="H36" i="29"/>
  <c r="H45" i="29"/>
  <c r="H22" i="29"/>
  <c r="H34" i="29"/>
  <c r="H30" i="29"/>
  <c r="B40" i="29"/>
  <c r="B33" i="29"/>
  <c r="B23" i="29"/>
  <c r="H46" i="29"/>
  <c r="H20" i="29"/>
  <c r="H32" i="29"/>
  <c r="H43" i="29"/>
  <c r="H23" i="29"/>
  <c r="B39" i="31"/>
  <c r="B43" i="31"/>
  <c r="B24" i="31"/>
  <c r="B22" i="31"/>
  <c r="B20" i="31"/>
  <c r="L20" i="31" s="1"/>
  <c r="B27" i="31"/>
  <c r="B25" i="31"/>
  <c r="B28" i="31"/>
  <c r="B23" i="31"/>
  <c r="B40" i="31"/>
  <c r="B32" i="31"/>
  <c r="B35" i="31"/>
  <c r="B31" i="31"/>
  <c r="B37" i="31"/>
  <c r="B46" i="31"/>
  <c r="B38" i="31"/>
  <c r="B41" i="31"/>
  <c r="B44" i="31"/>
  <c r="B36" i="31"/>
  <c r="B48" i="31"/>
  <c r="A19" i="42"/>
  <c r="A16" i="42"/>
  <c r="H57" i="31"/>
  <c r="K49" i="28"/>
  <c r="L49" i="28"/>
  <c r="H44" i="32" l="1"/>
  <c r="H30" i="32"/>
  <c r="H23" i="32"/>
  <c r="H37" i="32"/>
  <c r="K27" i="28"/>
  <c r="L27" i="28"/>
  <c r="K25" i="28"/>
  <c r="K26" i="28"/>
  <c r="K21" i="28"/>
  <c r="K23" i="28"/>
  <c r="K24" i="28"/>
  <c r="K22" i="28"/>
  <c r="L34" i="28"/>
  <c r="K33" i="28"/>
  <c r="K34" i="28"/>
  <c r="K28" i="28"/>
  <c r="K30" i="28"/>
  <c r="K32" i="28"/>
  <c r="K29" i="28"/>
  <c r="K31" i="28"/>
  <c r="K19" i="30"/>
  <c r="K42" i="28"/>
  <c r="K43" i="28"/>
  <c r="K45" i="28"/>
  <c r="K44" i="28"/>
  <c r="K48" i="28"/>
  <c r="K46" i="28"/>
  <c r="L48" i="28"/>
  <c r="K47" i="28"/>
  <c r="K35" i="28"/>
  <c r="L41" i="28"/>
  <c r="K40" i="28"/>
  <c r="K38" i="28"/>
  <c r="K41" i="28"/>
  <c r="K39" i="28"/>
  <c r="K37" i="28"/>
  <c r="K36" i="28"/>
  <c r="F41" i="30"/>
  <c r="F26" i="30"/>
  <c r="J26" i="30" s="1"/>
  <c r="F36" i="30"/>
  <c r="F37" i="30"/>
  <c r="F32" i="30"/>
  <c r="J32" i="30" s="1"/>
  <c r="F25" i="30"/>
  <c r="I25" i="30" s="1"/>
  <c r="F45" i="30"/>
  <c r="J45" i="30" s="1"/>
  <c r="F33" i="30"/>
  <c r="J33" i="30" s="1"/>
  <c r="F39" i="30"/>
  <c r="J39" i="30" s="1"/>
  <c r="F31" i="30"/>
  <c r="D23" i="31" a="1"/>
  <c r="D23" i="31" s="1"/>
  <c r="L23" i="31"/>
  <c r="E23" i="31" a="1"/>
  <c r="E23" i="31" s="1"/>
  <c r="D21" i="31" a="1"/>
  <c r="D21" i="31" s="1"/>
  <c r="E21" i="31" a="1"/>
  <c r="E21" i="31" s="1"/>
  <c r="L21" i="31"/>
  <c r="E34" i="31" a="1"/>
  <c r="E34" i="31" s="1"/>
  <c r="D34" i="31" a="1"/>
  <c r="D34" i="31" s="1"/>
  <c r="L34" i="31"/>
  <c r="F30" i="30"/>
  <c r="F21" i="30"/>
  <c r="J43" i="30"/>
  <c r="I43" i="30"/>
  <c r="L44" i="31"/>
  <c r="D44" i="31" a="1"/>
  <c r="D44" i="31" s="1"/>
  <c r="E44" i="31" a="1"/>
  <c r="E44" i="31" s="1"/>
  <c r="E39" i="31" a="1"/>
  <c r="E39" i="31" s="1"/>
  <c r="L39" i="31"/>
  <c r="D39" i="31" a="1"/>
  <c r="D39" i="31" s="1"/>
  <c r="J39" i="31" a="1"/>
  <c r="J39" i="31" s="1"/>
  <c r="I39" i="31" a="1"/>
  <c r="I39" i="31" s="1"/>
  <c r="D19" i="31" a="1"/>
  <c r="D19" i="31" s="1"/>
  <c r="L19" i="31"/>
  <c r="E19" i="31" a="1"/>
  <c r="E19" i="31" s="1"/>
  <c r="D47" i="31" a="1"/>
  <c r="D47" i="31" s="1"/>
  <c r="E47" i="31" a="1"/>
  <c r="E47" i="31" s="1"/>
  <c r="L47" i="31"/>
  <c r="F20" i="30"/>
  <c r="F38" i="30"/>
  <c r="F34" i="30"/>
  <c r="F28" i="30"/>
  <c r="D38" i="31" a="1"/>
  <c r="D38" i="31" s="1"/>
  <c r="E38" i="31" a="1"/>
  <c r="E38" i="31" s="1"/>
  <c r="L25" i="31"/>
  <c r="E25" i="31" a="1"/>
  <c r="E25" i="31" s="1"/>
  <c r="D25" i="31" a="1"/>
  <c r="D25" i="31" s="1"/>
  <c r="L30" i="31"/>
  <c r="D30" i="31" a="1"/>
  <c r="D30" i="31" s="1"/>
  <c r="E30" i="31" a="1"/>
  <c r="E30" i="31" s="1"/>
  <c r="E29" i="31" a="1"/>
  <c r="E29" i="31" s="1"/>
  <c r="L29" i="31"/>
  <c r="D29" i="31" a="1"/>
  <c r="D29" i="31" s="1"/>
  <c r="E33" i="31" a="1"/>
  <c r="E33" i="31" s="1"/>
  <c r="L33" i="31"/>
  <c r="D33" i="31" a="1"/>
  <c r="D33" i="31" s="1"/>
  <c r="J37" i="30"/>
  <c r="I37" i="30"/>
  <c r="J49" i="30"/>
  <c r="I49" i="30"/>
  <c r="D43" i="31" a="1"/>
  <c r="D43" i="31" s="1"/>
  <c r="L43" i="31"/>
  <c r="E43" i="31" a="1"/>
  <c r="E43" i="31" s="1"/>
  <c r="D26" i="31" a="1"/>
  <c r="D26" i="31" s="1"/>
  <c r="E26" i="31" a="1"/>
  <c r="E26" i="31" s="1"/>
  <c r="L26" i="31"/>
  <c r="E46" i="31" a="1"/>
  <c r="E46" i="31" s="1"/>
  <c r="L46" i="31"/>
  <c r="D46" i="31" a="1"/>
  <c r="D46" i="31" s="1"/>
  <c r="D45" i="29" a="1"/>
  <c r="D45" i="29" s="1"/>
  <c r="D45" i="31" a="1"/>
  <c r="D45" i="31" s="1"/>
  <c r="E45" i="31" a="1"/>
  <c r="E45" i="31" s="1"/>
  <c r="F27" i="30"/>
  <c r="F47" i="30"/>
  <c r="I36" i="30"/>
  <c r="J36" i="30"/>
  <c r="I31" i="30"/>
  <c r="J31" i="30"/>
  <c r="F44" i="30"/>
  <c r="E27" i="31" a="1"/>
  <c r="E27" i="31" s="1"/>
  <c r="L27" i="31"/>
  <c r="D27" i="31" a="1"/>
  <c r="D27" i="31" s="1"/>
  <c r="D31" i="31" a="1"/>
  <c r="D31" i="31" s="1"/>
  <c r="E31" i="31" a="1"/>
  <c r="E31" i="31" s="1"/>
  <c r="F48" i="30"/>
  <c r="F46" i="30"/>
  <c r="I41" i="30"/>
  <c r="J41" i="30"/>
  <c r="D41" i="31" a="1"/>
  <c r="D41" i="31" s="1"/>
  <c r="E41" i="31" a="1"/>
  <c r="E41" i="31" s="1"/>
  <c r="L41" i="31"/>
  <c r="D28" i="31" a="1"/>
  <c r="D28" i="31" s="1"/>
  <c r="E28" i="31" a="1"/>
  <c r="E28" i="31" s="1"/>
  <c r="L28" i="31"/>
  <c r="D37" i="31" a="1"/>
  <c r="D37" i="31" s="1"/>
  <c r="E37" i="31" a="1"/>
  <c r="E37" i="31" s="1"/>
  <c r="L37" i="31"/>
  <c r="E48" i="31" a="1"/>
  <c r="E48" i="31" s="1"/>
  <c r="D48" i="31" a="1"/>
  <c r="D48" i="31" s="1"/>
  <c r="L35" i="31"/>
  <c r="D35" i="31" a="1"/>
  <c r="D35" i="31" s="1"/>
  <c r="E35" i="31" a="1"/>
  <c r="E35" i="31" s="1"/>
  <c r="L22" i="31"/>
  <c r="D22" i="31" a="1"/>
  <c r="D22" i="31" s="1"/>
  <c r="E22" i="31" a="1"/>
  <c r="E22" i="31" s="1"/>
  <c r="I26" i="30"/>
  <c r="F40" i="30"/>
  <c r="F42" i="30"/>
  <c r="F42" i="31"/>
  <c r="E40" i="31" a="1"/>
  <c r="E40" i="31" s="1"/>
  <c r="L40" i="31"/>
  <c r="D40" i="31" a="1"/>
  <c r="D40" i="31" s="1"/>
  <c r="D36" i="31" a="1"/>
  <c r="D36" i="31" s="1"/>
  <c r="E36" i="31" a="1"/>
  <c r="E36" i="31" s="1"/>
  <c r="J36" i="31" a="1"/>
  <c r="J36" i="31" s="1"/>
  <c r="L36" i="31"/>
  <c r="I36" i="31" a="1"/>
  <c r="I36" i="31" s="1"/>
  <c r="D32" i="31" a="1"/>
  <c r="D32" i="31" s="1"/>
  <c r="E32" i="31" a="1"/>
  <c r="E32" i="31" s="1"/>
  <c r="L32" i="31"/>
  <c r="D24" i="31" a="1"/>
  <c r="D24" i="31" s="1"/>
  <c r="E24" i="31" a="1"/>
  <c r="E24" i="31" s="1"/>
  <c r="F23" i="30"/>
  <c r="F29" i="30"/>
  <c r="F35" i="30"/>
  <c r="L22" i="29"/>
  <c r="D22" i="29" a="1"/>
  <c r="D22" i="29" s="1"/>
  <c r="E22" i="29" a="1"/>
  <c r="E22" i="29" s="1"/>
  <c r="L43" i="29"/>
  <c r="D43" i="29" a="1"/>
  <c r="D43" i="29" s="1"/>
  <c r="E43" i="29" a="1"/>
  <c r="E43" i="29" s="1"/>
  <c r="L28" i="29"/>
  <c r="D28" i="29" a="1"/>
  <c r="D28" i="29" s="1"/>
  <c r="E28" i="29" a="1"/>
  <c r="E28" i="29" s="1"/>
  <c r="L42" i="29"/>
  <c r="D42" i="29" a="1"/>
  <c r="D42" i="29" s="1"/>
  <c r="E42" i="29" a="1"/>
  <c r="E42" i="29" s="1"/>
  <c r="L40" i="29"/>
  <c r="D40" i="29" a="1"/>
  <c r="D40" i="29" s="1"/>
  <c r="E40" i="29" a="1"/>
  <c r="E40" i="29" s="1"/>
  <c r="L25" i="29"/>
  <c r="D25" i="29" a="1"/>
  <c r="D25" i="29" s="1"/>
  <c r="E25" i="29" a="1"/>
  <c r="E25" i="29" s="1"/>
  <c r="L37" i="29"/>
  <c r="D37" i="29" a="1"/>
  <c r="D37" i="29" s="1"/>
  <c r="E37" i="29" a="1"/>
  <c r="E37" i="29" s="1"/>
  <c r="E46" i="29" a="1"/>
  <c r="E46" i="29" s="1"/>
  <c r="D46" i="29" a="1"/>
  <c r="D46" i="29" s="1"/>
  <c r="L19" i="29"/>
  <c r="E19" i="29" a="1"/>
  <c r="E19" i="29" s="1"/>
  <c r="D19" i="29" a="1"/>
  <c r="D19" i="29" s="1"/>
  <c r="D27" i="29" a="1"/>
  <c r="D27" i="29" s="1"/>
  <c r="E27" i="29" a="1"/>
  <c r="E27" i="29" s="1"/>
  <c r="L23" i="29"/>
  <c r="D23" i="29" a="1"/>
  <c r="D23" i="29" s="1"/>
  <c r="E23" i="29" a="1"/>
  <c r="E23" i="29" s="1"/>
  <c r="L35" i="29"/>
  <c r="E35" i="29" a="1"/>
  <c r="E35" i="29" s="1"/>
  <c r="D35" i="29" a="1"/>
  <c r="D35" i="29" s="1"/>
  <c r="L29" i="29"/>
  <c r="D29" i="29" a="1"/>
  <c r="D29" i="29" s="1"/>
  <c r="E29" i="29" a="1"/>
  <c r="E29" i="29" s="1"/>
  <c r="D34" i="29" a="1"/>
  <c r="D34" i="29" s="1"/>
  <c r="E34" i="29" a="1"/>
  <c r="E34" i="29" s="1"/>
  <c r="L30" i="29"/>
  <c r="E30" i="29" a="1"/>
  <c r="E30" i="29" s="1"/>
  <c r="D30" i="29" a="1"/>
  <c r="D30" i="29" s="1"/>
  <c r="H50" i="33"/>
  <c r="D20" i="29" a="1"/>
  <c r="D20" i="29" s="1"/>
  <c r="E20" i="29" a="1"/>
  <c r="E20" i="29" s="1"/>
  <c r="L39" i="29"/>
  <c r="D39" i="29" a="1"/>
  <c r="D39" i="29" s="1"/>
  <c r="E39" i="29" a="1"/>
  <c r="E39" i="29" s="1"/>
  <c r="L21" i="29"/>
  <c r="E21" i="29" a="1"/>
  <c r="E21" i="29" s="1"/>
  <c r="D21" i="29" a="1"/>
  <c r="D21" i="29" s="1"/>
  <c r="L26" i="29"/>
  <c r="D26" i="29" a="1"/>
  <c r="D26" i="29" s="1"/>
  <c r="E26" i="29" a="1"/>
  <c r="E26" i="29" s="1"/>
  <c r="L45" i="29"/>
  <c r="E45" i="29" a="1"/>
  <c r="E45" i="29" s="1"/>
  <c r="L24" i="29"/>
  <c r="D24" i="29" a="1"/>
  <c r="D24" i="29" s="1"/>
  <c r="E24" i="29" a="1"/>
  <c r="E24" i="29" s="1"/>
  <c r="D41" i="29" a="1"/>
  <c r="D41" i="29" s="1"/>
  <c r="E41" i="29" a="1"/>
  <c r="E41" i="29" s="1"/>
  <c r="L44" i="29"/>
  <c r="E44" i="29" a="1"/>
  <c r="E44" i="29" s="1"/>
  <c r="D44" i="29" a="1"/>
  <c r="D44" i="29" s="1"/>
  <c r="L36" i="29"/>
  <c r="D36" i="29" a="1"/>
  <c r="D36" i="29" s="1"/>
  <c r="E36" i="29" a="1"/>
  <c r="E36" i="29" s="1"/>
  <c r="L33" i="29"/>
  <c r="D33" i="29" a="1"/>
  <c r="D33" i="29" s="1"/>
  <c r="E33" i="29" a="1"/>
  <c r="E33" i="29" s="1"/>
  <c r="L32" i="29"/>
  <c r="E32" i="29" a="1"/>
  <c r="E32" i="29" s="1"/>
  <c r="D32" i="29" a="1"/>
  <c r="D32" i="29" s="1"/>
  <c r="L31" i="29"/>
  <c r="D31" i="29" a="1"/>
  <c r="D31" i="29" s="1"/>
  <c r="E31" i="29" a="1"/>
  <c r="E31" i="29" s="1"/>
  <c r="L38" i="29"/>
  <c r="D38" i="29" a="1"/>
  <c r="D38" i="29" s="1"/>
  <c r="E38" i="29" a="1"/>
  <c r="E38" i="29" s="1"/>
  <c r="H52" i="40"/>
  <c r="H54" i="35"/>
  <c r="H55" i="35"/>
  <c r="H53" i="35"/>
  <c r="L20" i="30"/>
  <c r="H52" i="35"/>
  <c r="L22" i="30"/>
  <c r="L24" i="30"/>
  <c r="L21" i="30"/>
  <c r="L38" i="30"/>
  <c r="H51" i="40"/>
  <c r="L25" i="30"/>
  <c r="L29" i="30"/>
  <c r="L34" i="30"/>
  <c r="L47" i="30"/>
  <c r="L41" i="30"/>
  <c r="L43" i="30"/>
  <c r="L28" i="30"/>
  <c r="L31" i="30"/>
  <c r="L35" i="30"/>
  <c r="L48" i="30"/>
  <c r="L40" i="30"/>
  <c r="L27" i="30"/>
  <c r="L33" i="30"/>
  <c r="L45" i="30"/>
  <c r="L42" i="30"/>
  <c r="L36" i="30"/>
  <c r="L26" i="30"/>
  <c r="L39" i="30"/>
  <c r="L32" i="30"/>
  <c r="L46" i="30"/>
  <c r="A17" i="42"/>
  <c r="A21" i="42" s="1"/>
  <c r="A22" i="42" s="1"/>
  <c r="A23" i="42" s="1"/>
  <c r="A24" i="42" s="1"/>
  <c r="A25" i="42" s="1"/>
  <c r="A26" i="42" s="1"/>
  <c r="A27" i="42" s="1"/>
  <c r="A28" i="42" s="1"/>
  <c r="A29" i="42" s="1"/>
  <c r="A30" i="42" s="1"/>
  <c r="A31" i="42" s="1"/>
  <c r="A32" i="42" s="1"/>
  <c r="A20" i="42"/>
  <c r="H58" i="32"/>
  <c r="H41" i="33" l="1"/>
  <c r="H48" i="33"/>
  <c r="H20" i="33"/>
  <c r="H34" i="33"/>
  <c r="J37" i="32"/>
  <c r="I37" i="32"/>
  <c r="I23" i="32"/>
  <c r="J23" i="32"/>
  <c r="J30" i="32"/>
  <c r="I30" i="32"/>
  <c r="H46" i="40"/>
  <c r="H25" i="40"/>
  <c r="H32" i="40"/>
  <c r="H39" i="40"/>
  <c r="J44" i="32"/>
  <c r="I44" i="32"/>
  <c r="I32" i="30"/>
  <c r="F32" i="29"/>
  <c r="J25" i="30"/>
  <c r="I33" i="30"/>
  <c r="I39" i="30"/>
  <c r="F37" i="31"/>
  <c r="I37" i="31" s="1" a="1"/>
  <c r="I37" i="31" s="1"/>
  <c r="F28" i="31"/>
  <c r="I45" i="30"/>
  <c r="F31" i="29"/>
  <c r="J31" i="29" s="1"/>
  <c r="F27" i="29"/>
  <c r="I27" i="29" s="1"/>
  <c r="F42" i="29"/>
  <c r="I42" i="29" s="1"/>
  <c r="F24" i="31"/>
  <c r="J24" i="31" s="1" a="1"/>
  <c r="J24" i="31" s="1"/>
  <c r="F24" i="29"/>
  <c r="J24" i="29" s="1"/>
  <c r="F45" i="31"/>
  <c r="I45" i="31" s="1" a="1"/>
  <c r="I45" i="31" s="1"/>
  <c r="F38" i="31"/>
  <c r="J38" i="31" s="1" a="1"/>
  <c r="J38" i="31" s="1"/>
  <c r="F33" i="29"/>
  <c r="J33" i="29" s="1"/>
  <c r="F33" i="31"/>
  <c r="I33" i="31" s="1" a="1"/>
  <c r="I33" i="31" s="1"/>
  <c r="F25" i="31"/>
  <c r="J25" i="31" s="1" a="1"/>
  <c r="J25" i="31" s="1"/>
  <c r="F25" i="29"/>
  <c r="J25" i="29" s="1"/>
  <c r="F23" i="31"/>
  <c r="J23" i="31" s="1" a="1"/>
  <c r="J23" i="31" s="1"/>
  <c r="F26" i="29"/>
  <c r="J26" i="29" s="1"/>
  <c r="F41" i="29"/>
  <c r="I41" i="29" s="1"/>
  <c r="F22" i="29"/>
  <c r="J22" i="29" s="1"/>
  <c r="F29" i="31"/>
  <c r="J29" i="31" s="1" a="1"/>
  <c r="J29" i="31" s="1"/>
  <c r="F20" i="29"/>
  <c r="J20" i="29" s="1"/>
  <c r="F29" i="29"/>
  <c r="J29" i="29" s="1"/>
  <c r="F40" i="29"/>
  <c r="I40" i="29" s="1"/>
  <c r="J29" i="30"/>
  <c r="I29" i="30"/>
  <c r="J42" i="31" a="1"/>
  <c r="J42" i="31" s="1"/>
  <c r="I42" i="31" a="1"/>
  <c r="I42" i="31" s="1"/>
  <c r="F41" i="31"/>
  <c r="J46" i="30"/>
  <c r="I46" i="30"/>
  <c r="F31" i="31"/>
  <c r="F43" i="31"/>
  <c r="J34" i="30"/>
  <c r="I34" i="30"/>
  <c r="F19" i="31"/>
  <c r="F21" i="31"/>
  <c r="I23" i="30"/>
  <c r="J23" i="30"/>
  <c r="J42" i="30"/>
  <c r="I42" i="30"/>
  <c r="J48" i="30"/>
  <c r="I48" i="30"/>
  <c r="F27" i="31"/>
  <c r="J47" i="30"/>
  <c r="I47" i="30"/>
  <c r="J38" i="30"/>
  <c r="I38" i="30"/>
  <c r="F30" i="29"/>
  <c r="I30" i="29" s="1"/>
  <c r="F35" i="29"/>
  <c r="I35" i="29" s="1"/>
  <c r="F37" i="29"/>
  <c r="I37" i="29" s="1"/>
  <c r="F32" i="31"/>
  <c r="J40" i="30"/>
  <c r="I40" i="30"/>
  <c r="I44" i="30"/>
  <c r="J44" i="30"/>
  <c r="J27" i="30"/>
  <c r="I27" i="30"/>
  <c r="F30" i="31"/>
  <c r="J20" i="30"/>
  <c r="I20" i="30"/>
  <c r="I21" i="30"/>
  <c r="J21" i="30"/>
  <c r="I30" i="30"/>
  <c r="J30" i="30"/>
  <c r="J35" i="30"/>
  <c r="I35" i="30"/>
  <c r="I28" i="30"/>
  <c r="J28" i="30"/>
  <c r="F19" i="29"/>
  <c r="J19" i="29" s="1"/>
  <c r="F35" i="31"/>
  <c r="F46" i="31"/>
  <c r="F26" i="31"/>
  <c r="F40" i="31"/>
  <c r="I28" i="31" a="1"/>
  <c r="I28" i="31" s="1"/>
  <c r="J28" i="31" a="1"/>
  <c r="J28" i="31" s="1"/>
  <c r="F28" i="29"/>
  <c r="I28" i="29" s="1"/>
  <c r="F48" i="31"/>
  <c r="F47" i="31"/>
  <c r="F44" i="31"/>
  <c r="F34" i="31"/>
  <c r="J27" i="29"/>
  <c r="F38" i="29"/>
  <c r="F36" i="29"/>
  <c r="F21" i="29"/>
  <c r="F34" i="29"/>
  <c r="F43" i="29"/>
  <c r="F45" i="29"/>
  <c r="I29" i="29"/>
  <c r="F23" i="29"/>
  <c r="F44" i="29"/>
  <c r="F39" i="29"/>
  <c r="J32" i="29"/>
  <c r="I32" i="29"/>
  <c r="F46" i="29"/>
  <c r="J42" i="29"/>
  <c r="H54" i="38"/>
  <c r="H52" i="38"/>
  <c r="H53" i="38"/>
  <c r="H51" i="38"/>
  <c r="H51" i="35"/>
  <c r="H57" i="33"/>
  <c r="K49" i="30"/>
  <c r="L49" i="30"/>
  <c r="K49" i="32"/>
  <c r="L49" i="32"/>
  <c r="K47" i="32" l="1"/>
  <c r="K48" i="32"/>
  <c r="K46" i="32"/>
  <c r="K44" i="32"/>
  <c r="K45" i="32"/>
  <c r="K26" i="32"/>
  <c r="K25" i="32"/>
  <c r="K23" i="32"/>
  <c r="K24" i="32"/>
  <c r="K29" i="32"/>
  <c r="L29" i="32"/>
  <c r="K27" i="32"/>
  <c r="K28" i="32"/>
  <c r="J39" i="40"/>
  <c r="I39" i="40"/>
  <c r="J25" i="40"/>
  <c r="I25" i="40"/>
  <c r="J34" i="33" a="1"/>
  <c r="J34" i="33" s="1"/>
  <c r="I34" i="33" a="1"/>
  <c r="I34" i="33" s="1"/>
  <c r="I46" i="40"/>
  <c r="J46" i="40"/>
  <c r="J20" i="33" a="1"/>
  <c r="J20" i="33" s="1"/>
  <c r="I20" i="33" a="1"/>
  <c r="I20" i="33" s="1"/>
  <c r="K43" i="32"/>
  <c r="K37" i="32"/>
  <c r="K42" i="32"/>
  <c r="K39" i="32"/>
  <c r="K38" i="32"/>
  <c r="K40" i="32"/>
  <c r="L43" i="32"/>
  <c r="K41" i="32"/>
  <c r="J32" i="40"/>
  <c r="I32" i="40"/>
  <c r="L36" i="32"/>
  <c r="K32" i="32"/>
  <c r="K34" i="32"/>
  <c r="K36" i="32"/>
  <c r="K33" i="32"/>
  <c r="K31" i="32"/>
  <c r="K35" i="32"/>
  <c r="K30" i="32"/>
  <c r="J48" i="33" a="1"/>
  <c r="J48" i="33" s="1"/>
  <c r="I48" i="33" a="1"/>
  <c r="I48" i="33" s="1"/>
  <c r="J41" i="33" a="1"/>
  <c r="J41" i="33" s="1"/>
  <c r="I41" i="33" a="1"/>
  <c r="I41" i="33" s="1"/>
  <c r="I19" i="29"/>
  <c r="I25" i="29"/>
  <c r="I29" i="31" a="1"/>
  <c r="I29" i="31" s="1"/>
  <c r="J37" i="31" a="1"/>
  <c r="J37" i="31" s="1"/>
  <c r="I31" i="29"/>
  <c r="I22" i="29"/>
  <c r="I26" i="29"/>
  <c r="J40" i="29"/>
  <c r="I24" i="29"/>
  <c r="I33" i="29"/>
  <c r="K45" i="30"/>
  <c r="I25" i="31" a="1"/>
  <c r="I25" i="31" s="1"/>
  <c r="J33" i="31" a="1"/>
  <c r="J33" i="31" s="1"/>
  <c r="I24" i="31" a="1"/>
  <c r="I24" i="31" s="1"/>
  <c r="J45" i="31" a="1"/>
  <c r="J45" i="31" s="1"/>
  <c r="I23" i="31" a="1"/>
  <c r="I23" i="31" s="1"/>
  <c r="I20" i="29"/>
  <c r="K20" i="29" s="1"/>
  <c r="J35" i="29"/>
  <c r="K38" i="30"/>
  <c r="K32" i="30"/>
  <c r="J37" i="29"/>
  <c r="K42" i="30"/>
  <c r="K34" i="30"/>
  <c r="J30" i="29"/>
  <c r="J41" i="29"/>
  <c r="K30" i="30"/>
  <c r="K39" i="30"/>
  <c r="I38" i="31" a="1"/>
  <c r="I38" i="31" s="1"/>
  <c r="K43" i="30"/>
  <c r="K47" i="30"/>
  <c r="K41" i="30"/>
  <c r="K37" i="30"/>
  <c r="K19" i="29"/>
  <c r="K20" i="30"/>
  <c r="K21" i="30"/>
  <c r="K46" i="30"/>
  <c r="K44" i="30"/>
  <c r="L44" i="30"/>
  <c r="I27" i="31" a="1"/>
  <c r="I27" i="31" s="1"/>
  <c r="J27" i="31" a="1"/>
  <c r="J27" i="31" s="1"/>
  <c r="I31" i="31" a="1"/>
  <c r="I31" i="31" s="1"/>
  <c r="J31" i="31" a="1"/>
  <c r="J31" i="31" s="1"/>
  <c r="K35" i="30"/>
  <c r="K33" i="30"/>
  <c r="L30" i="30"/>
  <c r="J28" i="29"/>
  <c r="K29" i="30"/>
  <c r="J19" i="31" a="1"/>
  <c r="J19" i="31" s="1"/>
  <c r="I19" i="31" a="1"/>
  <c r="I19" i="31" s="1"/>
  <c r="J44" i="31" a="1"/>
  <c r="J44" i="31" s="1"/>
  <c r="I44" i="31" a="1"/>
  <c r="I44" i="31" s="1"/>
  <c r="I26" i="31" a="1"/>
  <c r="I26" i="31" s="1"/>
  <c r="J26" i="31" a="1"/>
  <c r="J26" i="31" s="1"/>
  <c r="J30" i="31" a="1"/>
  <c r="J30" i="31" s="1"/>
  <c r="I30" i="31" a="1"/>
  <c r="I30" i="31" s="1"/>
  <c r="J34" i="31" a="1"/>
  <c r="J34" i="31" s="1"/>
  <c r="I34" i="31" a="1"/>
  <c r="I34" i="31" s="1"/>
  <c r="I48" i="31" a="1"/>
  <c r="I48" i="31" s="1"/>
  <c r="J48" i="31" a="1"/>
  <c r="J48" i="31" s="1"/>
  <c r="J46" i="31" a="1"/>
  <c r="J46" i="31" s="1"/>
  <c r="I46" i="31" a="1"/>
  <c r="I46" i="31" s="1"/>
  <c r="K36" i="30"/>
  <c r="K48" i="30"/>
  <c r="I43" i="31" a="1"/>
  <c r="I43" i="31" s="1"/>
  <c r="J43" i="31" a="1"/>
  <c r="J43" i="31" s="1"/>
  <c r="I47" i="31" a="1"/>
  <c r="I47" i="31" s="1"/>
  <c r="J47" i="31" a="1"/>
  <c r="J47" i="31" s="1"/>
  <c r="J40" i="31" a="1"/>
  <c r="J40" i="31" s="1"/>
  <c r="I40" i="31" a="1"/>
  <c r="I40" i="31" s="1"/>
  <c r="J32" i="31" a="1"/>
  <c r="J32" i="31" s="1"/>
  <c r="I32" i="31" a="1"/>
  <c r="I32" i="31" s="1"/>
  <c r="K31" i="30"/>
  <c r="I35" i="31" a="1"/>
  <c r="I35" i="31" s="1"/>
  <c r="J35" i="31" a="1"/>
  <c r="J35" i="31" s="1"/>
  <c r="I21" i="31" a="1"/>
  <c r="I21" i="31" s="1"/>
  <c r="J21" i="31" a="1"/>
  <c r="J21" i="31" s="1"/>
  <c r="K40" i="30"/>
  <c r="L37" i="30"/>
  <c r="I41" i="31" a="1"/>
  <c r="I41" i="31" s="1"/>
  <c r="J41" i="31" a="1"/>
  <c r="J41" i="31" s="1"/>
  <c r="I44" i="29"/>
  <c r="J44" i="29"/>
  <c r="I43" i="29"/>
  <c r="J43" i="29"/>
  <c r="J34" i="29"/>
  <c r="I34" i="29"/>
  <c r="J36" i="29"/>
  <c r="I36" i="29"/>
  <c r="I46" i="29"/>
  <c r="J46" i="29"/>
  <c r="J23" i="29"/>
  <c r="I23" i="29"/>
  <c r="J38" i="29"/>
  <c r="I38" i="29"/>
  <c r="J21" i="29"/>
  <c r="I21" i="29"/>
  <c r="I45" i="29"/>
  <c r="J45" i="29"/>
  <c r="J39" i="29"/>
  <c r="I39" i="29"/>
  <c r="H53" i="36"/>
  <c r="H54" i="36"/>
  <c r="H55" i="36"/>
  <c r="H52" i="36"/>
  <c r="H50" i="38"/>
  <c r="H58" i="40"/>
  <c r="L46" i="29"/>
  <c r="K48" i="31"/>
  <c r="L48" i="31"/>
  <c r="K48" i="33"/>
  <c r="L48" i="33"/>
  <c r="K49" i="40"/>
  <c r="L49" i="40"/>
  <c r="K48" i="40" l="1"/>
  <c r="K46" i="40"/>
  <c r="K47" i="40"/>
  <c r="K37" i="33"/>
  <c r="K34" i="33"/>
  <c r="K36" i="33"/>
  <c r="K38" i="33"/>
  <c r="K35" i="33"/>
  <c r="K39" i="33"/>
  <c r="L40" i="33"/>
  <c r="K40" i="33"/>
  <c r="K36" i="40"/>
  <c r="L38" i="40"/>
  <c r="K34" i="40"/>
  <c r="K37" i="40"/>
  <c r="K38" i="40"/>
  <c r="K32" i="40"/>
  <c r="K33" i="40"/>
  <c r="K35" i="40"/>
  <c r="K31" i="40"/>
  <c r="K28" i="40"/>
  <c r="L31" i="40"/>
  <c r="K27" i="40"/>
  <c r="K26" i="40"/>
  <c r="K29" i="40"/>
  <c r="K30" i="40"/>
  <c r="K25" i="40"/>
  <c r="K26" i="33"/>
  <c r="K20" i="33"/>
  <c r="K22" i="33"/>
  <c r="K23" i="33"/>
  <c r="K21" i="33"/>
  <c r="K24" i="33"/>
  <c r="K25" i="33"/>
  <c r="L26" i="33"/>
  <c r="K43" i="40"/>
  <c r="K42" i="40"/>
  <c r="K44" i="40"/>
  <c r="K40" i="40"/>
  <c r="K45" i="40"/>
  <c r="K39" i="40"/>
  <c r="K41" i="40"/>
  <c r="L45" i="40"/>
  <c r="H47" i="38"/>
  <c r="H19" i="38"/>
  <c r="H26" i="38"/>
  <c r="H33" i="38"/>
  <c r="H40" i="38"/>
  <c r="K45" i="33"/>
  <c r="K46" i="33"/>
  <c r="K44" i="33"/>
  <c r="L47" i="33"/>
  <c r="K43" i="33"/>
  <c r="K47" i="33"/>
  <c r="K41" i="33"/>
  <c r="K42" i="33"/>
  <c r="K19" i="31"/>
  <c r="L20" i="29"/>
  <c r="K30" i="29"/>
  <c r="K29" i="31"/>
  <c r="K33" i="29"/>
  <c r="L34" i="29"/>
  <c r="K32" i="29"/>
  <c r="K46" i="29"/>
  <c r="K31" i="29"/>
  <c r="K47" i="31"/>
  <c r="K34" i="29"/>
  <c r="K40" i="31"/>
  <c r="K43" i="29"/>
  <c r="K22" i="29"/>
  <c r="K29" i="29"/>
  <c r="K41" i="29"/>
  <c r="K40" i="29"/>
  <c r="K36" i="31"/>
  <c r="K44" i="31"/>
  <c r="K39" i="29"/>
  <c r="K23" i="29"/>
  <c r="K38" i="29"/>
  <c r="K36" i="29"/>
  <c r="K33" i="31"/>
  <c r="K21" i="29"/>
  <c r="K37" i="29"/>
  <c r="K26" i="29"/>
  <c r="K35" i="29"/>
  <c r="K39" i="31"/>
  <c r="K35" i="31"/>
  <c r="K28" i="29"/>
  <c r="K44" i="29"/>
  <c r="K32" i="31"/>
  <c r="K31" i="31"/>
  <c r="L31" i="31"/>
  <c r="K41" i="31"/>
  <c r="K46" i="31"/>
  <c r="K45" i="31"/>
  <c r="L45" i="31"/>
  <c r="K27" i="29"/>
  <c r="K42" i="29"/>
  <c r="K43" i="31"/>
  <c r="K37" i="31"/>
  <c r="K24" i="29"/>
  <c r="K30" i="31"/>
  <c r="K45" i="29"/>
  <c r="L38" i="31"/>
  <c r="K38" i="31"/>
  <c r="K42" i="31"/>
  <c r="K34" i="31"/>
  <c r="K25" i="29"/>
  <c r="L41" i="29"/>
  <c r="L27" i="29"/>
  <c r="H53" i="37"/>
  <c r="H54" i="37"/>
  <c r="H52" i="37"/>
  <c r="H51" i="37"/>
  <c r="H51" i="36"/>
  <c r="L51" i="32"/>
  <c r="H58" i="35"/>
  <c r="K51" i="32"/>
  <c r="J33" i="38" l="1" a="1"/>
  <c r="J33" i="38" s="1"/>
  <c r="I33" i="38" a="1"/>
  <c r="I33" i="38" s="1"/>
  <c r="I47" i="38" a="1"/>
  <c r="I47" i="38" s="1"/>
  <c r="J47" i="38" a="1"/>
  <c r="J47" i="38" s="1"/>
  <c r="J40" i="38" a="1"/>
  <c r="J40" i="38" s="1"/>
  <c r="I40" i="38" a="1"/>
  <c r="I40" i="38" s="1"/>
  <c r="H24" i="36"/>
  <c r="H45" i="36"/>
  <c r="H31" i="36"/>
  <c r="H38" i="36"/>
  <c r="J26" i="38" a="1"/>
  <c r="J26" i="38" s="1"/>
  <c r="I26" i="38" a="1"/>
  <c r="I26" i="38" s="1"/>
  <c r="J19" i="38" a="1"/>
  <c r="J19" i="38" s="1"/>
  <c r="I19" i="38" a="1"/>
  <c r="I19" i="38" s="1"/>
  <c r="K51" i="28"/>
  <c r="L51" i="28"/>
  <c r="L48" i="29"/>
  <c r="K48" i="29"/>
  <c r="H54" i="41"/>
  <c r="H55" i="41"/>
  <c r="H53" i="41"/>
  <c r="H52" i="41"/>
  <c r="H50" i="37"/>
  <c r="H57" i="38"/>
  <c r="L50" i="33"/>
  <c r="K50" i="33"/>
  <c r="K48" i="38"/>
  <c r="L48" i="38"/>
  <c r="K44" i="38" l="1"/>
  <c r="K46" i="38"/>
  <c r="K43" i="38"/>
  <c r="K40" i="38"/>
  <c r="L46" i="38"/>
  <c r="K45" i="38"/>
  <c r="K41" i="38"/>
  <c r="K42" i="38"/>
  <c r="J38" i="36"/>
  <c r="I38" i="36"/>
  <c r="J24" i="36"/>
  <c r="I24" i="36"/>
  <c r="K28" i="38"/>
  <c r="K32" i="38"/>
  <c r="K27" i="38"/>
  <c r="K26" i="38"/>
  <c r="K31" i="38"/>
  <c r="K29" i="38"/>
  <c r="L32" i="38"/>
  <c r="K30" i="38"/>
  <c r="K33" i="38"/>
  <c r="K39" i="38"/>
  <c r="K37" i="38"/>
  <c r="K34" i="38"/>
  <c r="K35" i="38"/>
  <c r="L39" i="38"/>
  <c r="K38" i="38"/>
  <c r="K36" i="38"/>
  <c r="I31" i="36"/>
  <c r="J31" i="36"/>
  <c r="J45" i="36"/>
  <c r="I45" i="36"/>
  <c r="H21" i="37"/>
  <c r="H28" i="37"/>
  <c r="H42" i="37"/>
  <c r="H35" i="37"/>
  <c r="K20" i="38"/>
  <c r="K24" i="38"/>
  <c r="K25" i="38"/>
  <c r="L25" i="38"/>
  <c r="K19" i="38"/>
  <c r="K21" i="38"/>
  <c r="K23" i="38"/>
  <c r="K22" i="38"/>
  <c r="K47" i="38"/>
  <c r="H51" i="41"/>
  <c r="K51" i="40"/>
  <c r="L51" i="40"/>
  <c r="H58" i="36"/>
  <c r="L49" i="36"/>
  <c r="K49" i="36"/>
  <c r="K47" i="36" l="1"/>
  <c r="K46" i="36"/>
  <c r="K45" i="36"/>
  <c r="K48" i="36"/>
  <c r="H33" i="41"/>
  <c r="H40" i="41"/>
  <c r="H19" i="41"/>
  <c r="H47" i="41"/>
  <c r="H26" i="41"/>
  <c r="J35" i="37" a="1"/>
  <c r="J35" i="37" s="1"/>
  <c r="I35" i="37" a="1"/>
  <c r="I35" i="37" s="1"/>
  <c r="K24" i="36"/>
  <c r="K30" i="36"/>
  <c r="K27" i="36"/>
  <c r="K26" i="36"/>
  <c r="K28" i="36"/>
  <c r="K29" i="36"/>
  <c r="L30" i="36"/>
  <c r="K25" i="36"/>
  <c r="I42" i="37" a="1"/>
  <c r="I42" i="37" s="1"/>
  <c r="J42" i="37" a="1"/>
  <c r="J42" i="37" s="1"/>
  <c r="I28" i="37" a="1"/>
  <c r="I28" i="37" s="1"/>
  <c r="J28" i="37" a="1"/>
  <c r="J28" i="37" s="1"/>
  <c r="K42" i="36"/>
  <c r="K39" i="36"/>
  <c r="K40" i="36"/>
  <c r="L44" i="36"/>
  <c r="K38" i="36"/>
  <c r="K43" i="36"/>
  <c r="K44" i="36"/>
  <c r="K41" i="36"/>
  <c r="K37" i="36"/>
  <c r="K36" i="36"/>
  <c r="L37" i="36"/>
  <c r="K32" i="36"/>
  <c r="K34" i="36"/>
  <c r="K35" i="36"/>
  <c r="K31" i="36"/>
  <c r="K33" i="36"/>
  <c r="J21" i="37" a="1"/>
  <c r="J21" i="37" s="1"/>
  <c r="I21" i="37" a="1"/>
  <c r="I21" i="37" s="1"/>
  <c r="H57" i="37"/>
  <c r="K51" i="35"/>
  <c r="L51" i="35"/>
  <c r="K48" i="37"/>
  <c r="L48" i="37"/>
  <c r="K44" i="37" l="1"/>
  <c r="K46" i="37"/>
  <c r="K47" i="37"/>
  <c r="K42" i="37"/>
  <c r="K45" i="37"/>
  <c r="K43" i="37"/>
  <c r="J47" i="41"/>
  <c r="I47" i="41"/>
  <c r="J33" i="41"/>
  <c r="I33" i="41"/>
  <c r="L41" i="37"/>
  <c r="K39" i="37"/>
  <c r="K40" i="37"/>
  <c r="K37" i="37"/>
  <c r="K41" i="37"/>
  <c r="K38" i="37"/>
  <c r="K36" i="37"/>
  <c r="K35" i="37"/>
  <c r="J40" i="41"/>
  <c r="I40" i="41"/>
  <c r="I19" i="41"/>
  <c r="J19" i="41"/>
  <c r="K31" i="37"/>
  <c r="K34" i="37"/>
  <c r="K32" i="37"/>
  <c r="L34" i="37"/>
  <c r="K29" i="37"/>
  <c r="K30" i="37"/>
  <c r="K33" i="37"/>
  <c r="K28" i="37"/>
  <c r="K21" i="37"/>
  <c r="K23" i="37"/>
  <c r="K24" i="37"/>
  <c r="K22" i="37"/>
  <c r="K26" i="37"/>
  <c r="L27" i="37"/>
  <c r="K25" i="37"/>
  <c r="K27" i="37"/>
  <c r="J26" i="41"/>
  <c r="I26" i="41"/>
  <c r="L50" i="38"/>
  <c r="K50" i="38"/>
  <c r="H58" i="41"/>
  <c r="L49" i="41"/>
  <c r="K49" i="41"/>
  <c r="L32" i="41" l="1"/>
  <c r="K32" i="41"/>
  <c r="K26" i="41"/>
  <c r="K28" i="41"/>
  <c r="K27" i="41"/>
  <c r="K30" i="41"/>
  <c r="K31" i="41"/>
  <c r="K29" i="41"/>
  <c r="K19" i="41"/>
  <c r="K20" i="41"/>
  <c r="K24" i="41"/>
  <c r="K21" i="41"/>
  <c r="K22" i="41"/>
  <c r="K23" i="41"/>
  <c r="L25" i="41"/>
  <c r="K25" i="41"/>
  <c r="K40" i="41"/>
  <c r="K42" i="41"/>
  <c r="K44" i="41"/>
  <c r="K45" i="41"/>
  <c r="L46" i="41"/>
  <c r="K46" i="41"/>
  <c r="K43" i="41"/>
  <c r="K41" i="41"/>
  <c r="K48" i="41"/>
  <c r="K47" i="41"/>
  <c r="K35" i="41"/>
  <c r="L39" i="41"/>
  <c r="K36" i="41"/>
  <c r="K33" i="41"/>
  <c r="K34" i="41"/>
  <c r="K37" i="41"/>
  <c r="K39" i="41"/>
  <c r="K38" i="41"/>
  <c r="L51" i="36"/>
  <c r="K51" i="36"/>
  <c r="L50" i="37" l="1"/>
  <c r="K50" i="37"/>
  <c r="L51" i="41" l="1"/>
  <c r="K51" i="41"/>
  <c r="E22" i="30" l="1" a="1"/>
  <c r="E22" i="30" s="1"/>
  <c r="D22" i="30" a="1"/>
  <c r="D22" i="30" s="1"/>
  <c r="F22" i="30" s="1"/>
  <c r="I22" i="30" l="1"/>
  <c r="J22" i="30"/>
  <c r="J51" i="30" s="1"/>
  <c r="K22" i="30" l="1"/>
  <c r="K27" i="30"/>
  <c r="K28" i="30"/>
  <c r="L23" i="30"/>
  <c r="K24" i="30"/>
  <c r="K23" i="30"/>
  <c r="K26" i="30"/>
  <c r="K25" i="30"/>
  <c r="I51" i="30"/>
  <c r="I53" i="30" s="1"/>
  <c r="I17" i="29" s="1"/>
  <c r="L51" i="30" l="1"/>
  <c r="K51" i="30"/>
  <c r="N18" i="29"/>
  <c r="I48" i="29"/>
  <c r="K17" i="29"/>
  <c r="N17" i="29"/>
  <c r="N16" i="29"/>
  <c r="J53" i="30"/>
  <c r="J17" i="29" s="1"/>
  <c r="J48" i="29" s="1"/>
  <c r="J50" i="29" s="1"/>
  <c r="J17" i="28" l="1"/>
  <c r="J51" i="28" s="1"/>
  <c r="I50" i="29"/>
  <c r="I17" i="28" l="1"/>
  <c r="N18" i="28" s="1"/>
  <c r="K17" i="28" l="1"/>
  <c r="I51" i="28"/>
  <c r="I53" i="28" s="1"/>
  <c r="N16" i="28"/>
  <c r="N17" i="28"/>
  <c r="J53" i="28" l="1"/>
  <c r="J17" i="31" s="1"/>
  <c r="I17" i="31"/>
  <c r="K17" i="31" l="1"/>
  <c r="N18" i="31"/>
  <c r="N17" i="31"/>
  <c r="E20" i="31" a="1"/>
  <c r="E20" i="31" s="1"/>
  <c r="F22" i="31"/>
  <c r="I22" i="31" s="1" a="1"/>
  <c r="I22" i="31" s="1"/>
  <c r="D20" i="31" a="1"/>
  <c r="D20" i="31" s="1"/>
  <c r="F20" i="31" l="1"/>
  <c r="I20" i="31" s="1" a="1"/>
  <c r="I20" i="31" s="1"/>
  <c r="J20" i="31" a="1"/>
  <c r="J20" i="31" s="1"/>
  <c r="J22" i="31" a="1"/>
  <c r="J22" i="31" s="1"/>
  <c r="K28" i="31" l="1"/>
  <c r="K27" i="31"/>
  <c r="J50" i="31"/>
  <c r="K22" i="31"/>
  <c r="K21" i="31"/>
  <c r="K26" i="31"/>
  <c r="K25" i="31"/>
  <c r="L24" i="31"/>
  <c r="K20" i="31"/>
  <c r="I50" i="31"/>
  <c r="K24" i="31"/>
  <c r="K23" i="31"/>
  <c r="I52" i="31" l="1"/>
  <c r="J52" i="31"/>
  <c r="K50" i="31"/>
  <c r="L50" i="31"/>
  <c r="J17" i="32" l="1"/>
  <c r="J51" i="32" s="1"/>
  <c r="I17" i="32"/>
  <c r="K17" i="32" s="1"/>
  <c r="I51" i="32" l="1"/>
  <c r="I53" i="32" s="1"/>
  <c r="I17" i="33" s="1"/>
  <c r="K17" i="33" s="1"/>
  <c r="J53" i="32" l="1"/>
  <c r="J17" i="33" s="1"/>
  <c r="J50" i="33" s="1"/>
  <c r="I50" i="33"/>
  <c r="I52" i="33" l="1"/>
  <c r="I17" i="40"/>
  <c r="I51" i="40" s="1"/>
  <c r="J52" i="33"/>
  <c r="K17" i="40" l="1"/>
  <c r="J17" i="40"/>
  <c r="J51" i="40" s="1"/>
  <c r="I53" i="40" s="1"/>
  <c r="I17" i="35" l="1"/>
  <c r="K17" i="35" s="1"/>
  <c r="J53" i="40"/>
  <c r="I51" i="35" l="1"/>
  <c r="J17" i="35"/>
  <c r="J51" i="35" s="1"/>
  <c r="J53" i="35" l="1"/>
  <c r="J17" i="38" s="1"/>
  <c r="J50" i="38" s="1"/>
  <c r="I53" i="35"/>
  <c r="I17" i="38" s="1"/>
  <c r="K17" i="38" s="1"/>
  <c r="I50" i="38" l="1"/>
  <c r="J52" i="38" s="1"/>
  <c r="J17" i="36" l="1"/>
  <c r="J51" i="36" s="1"/>
  <c r="I52" i="38"/>
  <c r="I17" i="36" l="1"/>
  <c r="K17" i="36" s="1"/>
  <c r="I51" i="36" l="1"/>
  <c r="I53" i="36" s="1"/>
  <c r="I17" i="37" s="1"/>
  <c r="K17" i="37" s="1"/>
  <c r="I50" i="37" l="1"/>
  <c r="J53" i="36"/>
  <c r="J17" i="37" s="1"/>
  <c r="J50" i="37" s="1"/>
  <c r="I52" i="37" s="1"/>
  <c r="J52" i="37" l="1"/>
  <c r="J17" i="41" s="1"/>
  <c r="J51" i="41" s="1"/>
  <c r="I17" i="41"/>
  <c r="K17" i="41" l="1"/>
  <c r="I51" i="41"/>
  <c r="I53" i="41" s="1"/>
  <c r="J53" i="4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Georg Wolff</author>
    <author>test</author>
    <author>ZUV</author>
  </authors>
  <commentList>
    <comment ref="C4" authorId="0" shapeId="0" xr:uid="{132614C4-B7CD-40D8-8374-A7DEB51B91A1}">
      <text>
        <r>
          <rPr>
            <b/>
            <sz val="9"/>
            <color indexed="81"/>
            <rFont val="Tahoma"/>
            <family val="2"/>
          </rPr>
          <t>Standardeinstellung ist Deutsch. Sollte Ihr Office-Paket in einer anderen Sprache installiert sein (das ist nicht das gleiche wie die Anzeige-/Bearbeitungssprache), können Sie hier die entsprechende Sprache einstellen. Sollte Ihre Sprache dort nicht stehen, kontaktieren Sie bitte den in der Fußzeile genannten Bearbeiter des Blatts.</t>
        </r>
      </text>
    </comment>
    <comment ref="C5" authorId="1" shapeId="0" xr:uid="{00000000-0006-0000-0000-000001000000}">
      <text>
        <r>
          <rPr>
            <b/>
            <sz val="8"/>
            <color indexed="81"/>
            <rFont val="Tahoma"/>
            <family val="2"/>
          </rPr>
          <t xml:space="preserve">Zu Beginn dieses Monats werden Ihre Plus- bzw. Minusstunden übernommen.
</t>
        </r>
      </text>
    </comment>
    <comment ref="D12" authorId="2" shapeId="0" xr:uid="{00000000-0006-0000-0000-000002000000}">
      <text>
        <r>
          <rPr>
            <b/>
            <sz val="8"/>
            <color indexed="81"/>
            <rFont val="Tahoma"/>
            <family val="2"/>
          </rPr>
          <t>ZUV:</t>
        </r>
        <r>
          <rPr>
            <sz val="8"/>
            <color indexed="81"/>
            <rFont val="Tahoma"/>
            <family val="2"/>
          </rPr>
          <t xml:space="preserve">
beachte plus 1 minute bei den 39,5 stunden az-verhältnissen, damit die automatische berechnung der maximalen gleitzeit (trotz rundung bei der berechnung) funktioniert</t>
        </r>
      </text>
    </comment>
    <comment ref="D19" authorId="2" shapeId="0" xr:uid="{00000000-0006-0000-0000-000003000000}">
      <text>
        <r>
          <rPr>
            <sz val="8"/>
            <color indexed="81"/>
            <rFont val="Tahoma"/>
            <family val="2"/>
          </rPr>
          <t xml:space="preserve">
Eingabeformat ist z.b.: 8:00</t>
        </r>
      </text>
    </comment>
    <comment ref="D20" authorId="2" shapeId="0" xr:uid="{00000000-0006-0000-0000-000004000000}">
      <text>
        <r>
          <rPr>
            <sz val="8"/>
            <color indexed="81"/>
            <rFont val="Tahoma"/>
            <family val="2"/>
          </rPr>
          <t xml:space="preserve">
Eingabeformat ist z.b.: 8:00</t>
        </r>
      </text>
    </comment>
    <comment ref="D21" authorId="2" shapeId="0" xr:uid="{00000000-0006-0000-0000-000005000000}">
      <text>
        <r>
          <rPr>
            <sz val="8"/>
            <color indexed="81"/>
            <rFont val="Tahoma"/>
            <family val="2"/>
          </rPr>
          <t xml:space="preserve">
Eingabeformat ist z.b.: 8:00</t>
        </r>
      </text>
    </comment>
    <comment ref="D22" authorId="2" shapeId="0" xr:uid="{00000000-0006-0000-0000-000006000000}">
      <text>
        <r>
          <rPr>
            <sz val="8"/>
            <color indexed="81"/>
            <rFont val="Tahoma"/>
            <family val="2"/>
          </rPr>
          <t xml:space="preserve">
Eingabeformat ist z.b.: 8:00</t>
        </r>
      </text>
    </comment>
    <comment ref="D23" authorId="2" shapeId="0" xr:uid="{00000000-0006-0000-0000-000007000000}">
      <text>
        <r>
          <rPr>
            <sz val="8"/>
            <color indexed="81"/>
            <rFont val="Tahoma"/>
            <family val="2"/>
          </rPr>
          <t xml:space="preserve">
Eingabeformat ist z.b.: 8:00</t>
        </r>
      </text>
    </comment>
    <comment ref="D26" authorId="1" shapeId="0" xr:uid="{00000000-0006-0000-0000-000008000000}">
      <text>
        <r>
          <rPr>
            <b/>
            <sz val="8"/>
            <color indexed="81"/>
            <rFont val="Tahoma"/>
            <family val="2"/>
          </rPr>
          <t xml:space="preserve">
Bei Änderungen der persönlichen Verhältnisse (z.B. Beschäftigungsumfang, Name durch Heirat etc.) während des Jahres kann man eine separate Datei (Arbeitszeitmappe) für den verbleibenden Rest des Jahres anlegen und dies hier kenntlich machen.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0" authorId="0" shapeId="0" xr:uid="{00000000-0006-0000-09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A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0" authorId="0" shapeId="0" xr:uid="{00000000-0006-0000-0B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C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100-000001000000}">
      <text>
        <r>
          <rPr>
            <b/>
            <sz val="8"/>
            <color indexed="81"/>
            <rFont val="Tahoma"/>
            <family val="2"/>
          </rPr>
          <t>Regelarbeitszeit Montag (s. Mantelbogen). Änderungen werden für die Folgemonate übernommen.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48" authorId="0" shapeId="0" xr:uid="{00000000-0006-0000-0200-000001000000}">
      <text>
        <r>
          <rPr>
            <b/>
            <sz val="8"/>
            <color indexed="81"/>
            <rFont val="Tahoma"/>
            <family val="2"/>
          </rPr>
          <t>Regelarbeitszeit Montag (s. Mantelbogen). Änderungen werden für die Folgemonate übernommen.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3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0" authorId="0" shapeId="0" xr:uid="{00000000-0006-0000-0400-000001000000}">
      <text>
        <r>
          <rPr>
            <b/>
            <sz val="8"/>
            <color indexed="81"/>
            <rFont val="Tahoma"/>
            <family val="2"/>
          </rPr>
          <t>Regelarbeitszeit Montag (s. Mantelbogen). Änderungen werden für die Folgemonate übernommen.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500-000001000000}">
      <text>
        <r>
          <rPr>
            <b/>
            <sz val="8"/>
            <color indexed="81"/>
            <rFont val="Tahoma"/>
            <family val="2"/>
          </rPr>
          <t>Regelarbeitszeit Montag (s. Mantelbogen). Änderungen werden für die Folgemonate übernommen.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0" authorId="0" shapeId="0" xr:uid="{00000000-0006-0000-06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7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H51" authorId="0" shapeId="0" xr:uid="{00000000-0006-0000-0800-000001000000}">
      <text>
        <r>
          <rPr>
            <b/>
            <sz val="8"/>
            <color indexed="81"/>
            <rFont val="Tahoma"/>
            <family val="2"/>
          </rPr>
          <t>Regelarbeitszeit Montag (s. Mantelbogen). Änderungen werden für die Folgemonate übernommen.</t>
        </r>
        <r>
          <rPr>
            <sz val="8"/>
            <color indexed="81"/>
            <rFont val="Tahoma"/>
            <family val="2"/>
          </rPr>
          <t xml:space="preserve">
</t>
        </r>
      </text>
    </comment>
  </commentList>
</comments>
</file>

<file path=xl/sharedStrings.xml><?xml version="1.0" encoding="utf-8"?>
<sst xmlns="http://schemas.openxmlformats.org/spreadsheetml/2006/main" count="412" uniqueCount="141">
  <si>
    <t>Übertrag vom Vormonat</t>
  </si>
  <si>
    <t>Plusstunden</t>
  </si>
  <si>
    <t>Minusstunden</t>
  </si>
  <si>
    <t>Die Richtigkeit der Eintragungen bestätigt:</t>
  </si>
  <si>
    <t>Gesehen:</t>
  </si>
  <si>
    <t>Arbeitszeitblatt</t>
  </si>
  <si>
    <t>Name:</t>
  </si>
  <si>
    <t>Arbeitsstelle:</t>
  </si>
  <si>
    <t>Monat/Jahr:</t>
  </si>
  <si>
    <t>Eingangsstempel</t>
  </si>
  <si>
    <t>Leiter/in der Arbeitsstelle</t>
  </si>
  <si>
    <t>- Verwaltung -</t>
  </si>
  <si>
    <t>Gesamt:</t>
  </si>
  <si>
    <t>Saldo u. Übertrag:</t>
  </si>
  <si>
    <t>Wochentag</t>
  </si>
  <si>
    <t xml:space="preserve">Unterschrift der/des Beschäftigten </t>
  </si>
  <si>
    <t>Pausen</t>
  </si>
  <si>
    <t>Januar</t>
  </si>
  <si>
    <t>Arbeitszeit-beginn</t>
  </si>
  <si>
    <t>Arbeitszeit-ende</t>
  </si>
  <si>
    <t>ALLERHEILIGEN</t>
  </si>
  <si>
    <t>DREIKÖNIG</t>
  </si>
  <si>
    <t>NEUJAHR</t>
  </si>
  <si>
    <t>Zeile</t>
  </si>
  <si>
    <t>maximale Arbeitszeit bei Vollbeschäftigung</t>
  </si>
  <si>
    <t>maximale Arbeitszeit bei 3/4 Beschäftigung</t>
  </si>
  <si>
    <t>maximale Arbeitszeit bei 1/2 Beschäftigung</t>
  </si>
  <si>
    <t>maximale Gleitzeit bei Vollbeschäftigung</t>
  </si>
  <si>
    <t>maximale Gleitzeit bei 3/4 Beschäftigung</t>
  </si>
  <si>
    <t>maximale Gleitzeit bei 1/2 Beschäftigung</t>
  </si>
  <si>
    <t>xxxxxx</t>
  </si>
  <si>
    <t>Sonstiges</t>
  </si>
  <si>
    <t xml:space="preserve"> Montag</t>
  </si>
  <si>
    <t xml:space="preserve"> Dienstag</t>
  </si>
  <si>
    <t xml:space="preserve"> Mittwoch</t>
  </si>
  <si>
    <t xml:space="preserve"> Donnerstag</t>
  </si>
  <si>
    <t xml:space="preserve"> Freitag</t>
  </si>
  <si>
    <t xml:space="preserve"> Kontrollsumme:</t>
  </si>
  <si>
    <t>Zeitkategorie:</t>
  </si>
  <si>
    <t xml:space="preserve"> Name:</t>
  </si>
  <si>
    <t xml:space="preserve"> Vorname:</t>
  </si>
  <si>
    <t xml:space="preserve"> Arbeitsstelle:</t>
  </si>
  <si>
    <t>Wöchentliche Regelarbeitszeit bei Vollzeitbeschäftigung:</t>
  </si>
  <si>
    <t>Woche</t>
  </si>
  <si>
    <r>
      <t xml:space="preserve">IST-Arbeitszeit </t>
    </r>
    <r>
      <rPr>
        <sz val="7"/>
        <rFont val="Arial"/>
        <family val="2"/>
      </rPr>
      <t xml:space="preserve">(ohne Pausen) </t>
    </r>
  </si>
  <si>
    <t>SOLL-Arbeitszeit</t>
  </si>
  <si>
    <t>Ihre individuelle wöchentliche Regelarbeitszeit:</t>
  </si>
  <si>
    <t>Sonstige Zeiten laut beigefügter Aufstellung (s. Anlage):</t>
  </si>
  <si>
    <t xml:space="preserve">                         Heidelberger Akademie der Wissenschaften  - Verwaltung -</t>
  </si>
  <si>
    <t xml:space="preserve">             Arbeitszeitblatt - persönliche Angaben</t>
  </si>
  <si>
    <t xml:space="preserve">      Arbeitszeitblatt</t>
  </si>
  <si>
    <t xml:space="preserve"> Heidelberger Akademie der Wissenschaften</t>
  </si>
  <si>
    <t xml:space="preserve">   Arbeitszeitblatt</t>
  </si>
  <si>
    <t xml:space="preserve">   Heidelberger Akademie der Wissenschaften</t>
  </si>
  <si>
    <t xml:space="preserve">Falls weitere Arbeitszeiten (z.B. im Rahmen von Dienstreisen) berücksichtigt werden müssen, </t>
  </si>
  <si>
    <t>die nicht in das vorgegebene Schema passen, fügen Sie bitte ein Beiblatt mit einer separaten Aufstellung</t>
  </si>
  <si>
    <t>jeweiligen Monatsblatt ein.</t>
  </si>
  <si>
    <t xml:space="preserve"> Gültig ab:</t>
  </si>
  <si>
    <t>Gleitzeitkonto</t>
  </si>
  <si>
    <t>Verteilung der  wöchentlichen Regelarbeitszeit auf die Wochentage (dient ausschließlich Ihrer eigenen Übersicht mit Hilfe der täglichen Plus- bzw. Minusstunden):</t>
  </si>
  <si>
    <t>ATHENE</t>
  </si>
  <si>
    <t>Pallas</t>
  </si>
  <si>
    <t xml:space="preserve">Bei der Angabe der Pausen ist die jeweilige gesetzliche Mindestdauer zu beachten. Bei fehlerhafter
</t>
  </si>
  <si>
    <t>Eingabe erfolgt ein optischer Hinweis (rot). Die korrekte Pause kann dann manuell eingetragen werden.</t>
  </si>
  <si>
    <t>Urlaubstage (lfd. Monat)</t>
  </si>
  <si>
    <t>Urlaub (verbleibend)</t>
  </si>
  <si>
    <t>Plus</t>
  </si>
  <si>
    <t>Minus</t>
  </si>
  <si>
    <t>Resturlaub (Übertrag)</t>
  </si>
  <si>
    <t>Jahresurlaub (in Arbeitstagen)</t>
  </si>
  <si>
    <t>An Tagen, die keine regulären Arbeitstage sind, bitte folgende Bezeichnungen in Spalte C eintragen:</t>
  </si>
  <si>
    <t xml:space="preserve">Diese Arbeitszeitmappe wurde mit und für Excel 2016 in deutscher Sprache unter Windows 10 erstellt; </t>
  </si>
  <si>
    <t>Tag</t>
  </si>
  <si>
    <t>arbeitstfrei</t>
  </si>
  <si>
    <t>Die 1. Kommentarspalte M wird mit ausgedruckt, die 2. Spalte N ist für private Anmerkungen vorgesehen.</t>
  </si>
  <si>
    <t>https://km-bw.de/,Lde/Startseite/Service/Ferien</t>
  </si>
  <si>
    <t>bei Benutzung mit anderen Programmen oder Betriebssystemen kann es (u.a. opt.) Abweichungen geben.</t>
  </si>
  <si>
    <t>https://www.hadw-bw.de/gleitzeitordnung</t>
  </si>
  <si>
    <t>- an Urlaubstagen:</t>
  </si>
  <si>
    <t>- bei Krankheit:</t>
  </si>
  <si>
    <t>Geschäftsstelle</t>
  </si>
  <si>
    <t>2024 Christi Himmelfahrt</t>
  </si>
  <si>
    <t>(bis 04.01.2024)</t>
  </si>
  <si>
    <t>ggf. abweichend in anderen Städten</t>
  </si>
  <si>
    <t>Wochentage:</t>
  </si>
  <si>
    <t>Deutsch</t>
  </si>
  <si>
    <t>TTTT</t>
  </si>
  <si>
    <t>Englisch</t>
  </si>
  <si>
    <t>dddd</t>
  </si>
  <si>
    <t>Französisch</t>
  </si>
  <si>
    <t>jjjj</t>
  </si>
  <si>
    <t>Sprache</t>
  </si>
  <si>
    <t>Code</t>
  </si>
  <si>
    <t>Sprachcode:</t>
  </si>
  <si>
    <t>KARFREITAG</t>
  </si>
  <si>
    <t>OSTERMONTAG</t>
  </si>
  <si>
    <t>TAG DER ARBEIT</t>
  </si>
  <si>
    <t>PFINGSTMONTAG</t>
  </si>
  <si>
    <t>FRONLEICHNAM</t>
  </si>
  <si>
    <t>TAG DER DT. EINHEIT</t>
  </si>
  <si>
    <t>WEIHNACHTEN</t>
  </si>
  <si>
    <t>HEILIGABEND</t>
  </si>
  <si>
    <t>Februar</t>
  </si>
  <si>
    <t>Column1</t>
  </si>
  <si>
    <t>Monat</t>
  </si>
  <si>
    <t>März</t>
  </si>
  <si>
    <t>April</t>
  </si>
  <si>
    <t>Mai</t>
  </si>
  <si>
    <t>Juni</t>
  </si>
  <si>
    <t>Juli</t>
  </si>
  <si>
    <t>August</t>
  </si>
  <si>
    <t>September</t>
  </si>
  <si>
    <t>Oktober</t>
  </si>
  <si>
    <t>November</t>
  </si>
  <si>
    <t>Dezember</t>
  </si>
  <si>
    <t>Beschäftigungsumfang in Prozent (Vollbeschäftigt = 100 %)</t>
  </si>
  <si>
    <r>
      <t xml:space="preserve">                         </t>
    </r>
    <r>
      <rPr>
        <i/>
        <sz val="9"/>
        <rFont val="Calibri"/>
        <family val="2"/>
        <scheme val="minor"/>
      </rPr>
      <t>"Urlaub"</t>
    </r>
  </si>
  <si>
    <r>
      <t xml:space="preserve">                         </t>
    </r>
    <r>
      <rPr>
        <i/>
        <sz val="9"/>
        <rFont val="Calibri"/>
        <family val="2"/>
        <scheme val="minor"/>
      </rPr>
      <t>"krank"</t>
    </r>
  </si>
  <si>
    <r>
      <t xml:space="preserve">- bei (vorher genehmigten) Arbeitszeitausgleich: </t>
    </r>
    <r>
      <rPr>
        <i/>
        <sz val="9"/>
        <rFont val="Calibri"/>
        <family val="2"/>
        <scheme val="minor"/>
      </rPr>
      <t>"Ausgleich"</t>
    </r>
    <r>
      <rPr>
        <b/>
        <sz val="9"/>
        <rFont val="Calibri"/>
        <family val="2"/>
        <scheme val="minor"/>
      </rPr>
      <t xml:space="preserve"> (-&gt; Minusstunden)</t>
    </r>
  </si>
  <si>
    <r>
      <t>hinzu und tragen die Summe der ermittelten Arbeitszeiten als "</t>
    </r>
    <r>
      <rPr>
        <i/>
        <sz val="9"/>
        <rFont val="Calibri"/>
        <family val="2"/>
        <scheme val="minor"/>
      </rPr>
      <t>Sonstige Zeiten</t>
    </r>
    <r>
      <rPr>
        <b/>
        <sz val="9"/>
        <rFont val="Calibri"/>
        <family val="2"/>
        <scheme val="minor"/>
      </rPr>
      <t>" in Zeile 50 auf dem</t>
    </r>
  </si>
  <si>
    <r>
      <t xml:space="preserve">Bitte füllen Sie nur die nachstehenden </t>
    </r>
    <r>
      <rPr>
        <b/>
        <i/>
        <u val="double"/>
        <sz val="11"/>
        <rFont val="Calibri"/>
        <family val="2"/>
        <scheme val="minor"/>
      </rPr>
      <t>FARBIG</t>
    </r>
    <r>
      <rPr>
        <b/>
        <sz val="11"/>
        <rFont val="Calibri"/>
        <family val="2"/>
        <scheme val="minor"/>
      </rPr>
      <t xml:space="preserve"> hinterlegten Felder aus:</t>
    </r>
  </si>
  <si>
    <t xml:space="preserve"> Gleitzeitkonto zum Beginn des Monats:</t>
  </si>
  <si>
    <r>
      <t xml:space="preserve">IST-Arbeitszeit </t>
    </r>
    <r>
      <rPr>
        <sz val="7"/>
        <rFont val="Calibri"/>
        <family val="2"/>
        <scheme val="minor"/>
      </rPr>
      <t xml:space="preserve">(ohne Pausen) </t>
    </r>
  </si>
  <si>
    <r>
      <t xml:space="preserve">Zur Information: 
</t>
    </r>
    <r>
      <rPr>
        <i/>
        <sz val="6"/>
        <rFont val="Calibri"/>
        <family val="2"/>
        <scheme val="minor"/>
      </rPr>
      <t xml:space="preserve">wöchentl. Arbeitszeit bei Vollbeschäftigung 39:30 h
montags bis donnerstags 8 h
freitags 7:30 h                        </t>
    </r>
  </si>
  <si>
    <t>Kappung Plusstunden auf die individuelle Wochenarbeitszeit</t>
  </si>
  <si>
    <t>VERFALL DES VORJAHRESURLAUBS ZUM MONATSENDE</t>
  </si>
  <si>
    <t>10.01.2024  HAdW / G. Wolff</t>
  </si>
  <si>
    <t xml:space="preserve"> Sprache Betriebssystem:</t>
  </si>
  <si>
    <t>CHRISTI HIMMELFAHRT</t>
  </si>
  <si>
    <t>SILVESTER</t>
  </si>
  <si>
    <t>Arbeitszeitbeginn</t>
  </si>
  <si>
    <t>Verfall des Vorjahresurlaubs zum Monatsende</t>
  </si>
  <si>
    <t>Ende März jeden Jahres verfällt das Gleitzeitguthaben, das über Ihre individuelle Wochenarbeitszeit (siehe Feld D14) hinausgeht und zum Ende September der Urlaub des Vorjahres.</t>
  </si>
  <si>
    <t>2025 Schulferien HD -&gt;</t>
  </si>
  <si>
    <t>&lt;- 2025 Schulferien HD</t>
  </si>
  <si>
    <t>&lt;- 2025 Schulferien BW</t>
  </si>
  <si>
    <t>Unterrichtsfreier Tag HD</t>
  </si>
  <si>
    <t>2025 Schulferien BW -&gt;</t>
  </si>
  <si>
    <t>Anfangszeit</t>
  </si>
  <si>
    <t>Endzeit</t>
  </si>
  <si>
    <t>Pause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</si>
</sst>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h]:mm\ &quot;h&quot;"/>
    <numFmt numFmtId="165" formatCode="0.0"/>
    <numFmt numFmtId="166" formatCode="mmmm"/>
  </numFmts>
  <fonts count="53" x14ac:knownFonts="1">
    <font>
      <sz val="10"/>
      <name val="Arial"/>
    </font>
    <font>
      <sz val="6"/>
      <name val="Arial"/>
      <family val="2"/>
    </font>
    <font>
      <sz val="8"/>
      <name val="Arial"/>
      <family val="2"/>
    </font>
    <font>
      <sz val="12"/>
      <name val="Arial"/>
      <family val="2"/>
    </font>
    <font>
      <sz val="7"/>
      <name val="Arial"/>
      <family val="2"/>
    </font>
    <font>
      <sz val="10"/>
      <name val="Arial"/>
      <family val="2"/>
    </font>
    <font>
      <sz val="8"/>
      <name val="Times New Roman"/>
      <family val="1"/>
    </font>
    <font>
      <b/>
      <sz val="8"/>
      <color indexed="81"/>
      <name val="Tahoma"/>
      <family val="2"/>
    </font>
    <font>
      <sz val="8"/>
      <color indexed="81"/>
      <name val="Tahoma"/>
      <family val="2"/>
    </font>
    <font>
      <sz val="10"/>
      <name val="Century Gothic"/>
      <family val="2"/>
    </font>
    <font>
      <b/>
      <sz val="9"/>
      <color indexed="81"/>
      <name val="Tahoma"/>
      <family val="2"/>
    </font>
    <font>
      <b/>
      <sz val="11"/>
      <color theme="0"/>
      <name val="Calibri"/>
      <family val="2"/>
      <scheme val="minor"/>
    </font>
    <font>
      <b/>
      <sz val="11"/>
      <color theme="1"/>
      <name val="Calibri"/>
      <family val="2"/>
      <scheme val="minor"/>
    </font>
    <font>
      <sz val="8"/>
      <name val="Calibri"/>
      <family val="2"/>
      <scheme val="minor"/>
    </font>
    <font>
      <sz val="10"/>
      <name val="Calibri"/>
      <family val="2"/>
      <scheme val="minor"/>
    </font>
    <font>
      <sz val="14"/>
      <name val="Calibri"/>
      <family val="2"/>
      <scheme val="minor"/>
    </font>
    <font>
      <b/>
      <sz val="22"/>
      <name val="Calibri"/>
      <family val="2"/>
      <scheme val="minor"/>
    </font>
    <font>
      <b/>
      <sz val="12"/>
      <name val="Calibri"/>
      <family val="2"/>
      <scheme val="minor"/>
    </font>
    <font>
      <b/>
      <sz val="10"/>
      <name val="Calibri"/>
      <family val="2"/>
      <scheme val="minor"/>
    </font>
    <font>
      <b/>
      <sz val="11"/>
      <name val="Calibri"/>
      <family val="2"/>
      <scheme val="minor"/>
    </font>
    <font>
      <sz val="7"/>
      <name val="Calibri"/>
      <family val="2"/>
      <scheme val="minor"/>
    </font>
    <font>
      <sz val="6"/>
      <name val="Calibri"/>
      <family val="2"/>
      <scheme val="minor"/>
    </font>
    <font>
      <b/>
      <i/>
      <sz val="10"/>
      <name val="Calibri"/>
      <family val="2"/>
      <scheme val="minor"/>
    </font>
    <font>
      <b/>
      <sz val="10"/>
      <color indexed="10"/>
      <name val="Calibri"/>
      <family val="2"/>
      <scheme val="minor"/>
    </font>
    <font>
      <sz val="10"/>
      <color theme="0"/>
      <name val="Calibri"/>
      <family val="2"/>
      <scheme val="minor"/>
    </font>
    <font>
      <b/>
      <sz val="9"/>
      <name val="Calibri"/>
      <family val="2"/>
      <scheme val="minor"/>
    </font>
    <font>
      <sz val="8"/>
      <color theme="0"/>
      <name val="Calibri"/>
      <family val="2"/>
      <scheme val="minor"/>
    </font>
    <font>
      <sz val="9"/>
      <name val="Calibri"/>
      <family val="2"/>
      <scheme val="minor"/>
    </font>
    <font>
      <i/>
      <sz val="9"/>
      <name val="Calibri"/>
      <family val="2"/>
      <scheme val="minor"/>
    </font>
    <font>
      <sz val="8"/>
      <color theme="2" tint="-0.249977111117893"/>
      <name val="Calibri"/>
      <family val="2"/>
      <scheme val="minor"/>
    </font>
    <font>
      <b/>
      <i/>
      <u val="double"/>
      <sz val="11"/>
      <name val="Calibri"/>
      <family val="2"/>
      <scheme val="minor"/>
    </font>
    <font>
      <sz val="11"/>
      <name val="Calibri"/>
      <family val="2"/>
      <scheme val="minor"/>
    </font>
    <font>
      <i/>
      <sz val="11"/>
      <name val="Calibri"/>
      <family val="2"/>
      <scheme val="minor"/>
    </font>
    <font>
      <b/>
      <sz val="12"/>
      <color rgb="FFFF0000"/>
      <name val="Calibri"/>
      <family val="2"/>
      <scheme val="minor"/>
    </font>
    <font>
      <b/>
      <sz val="10"/>
      <color rgb="FFFF0000"/>
      <name val="Calibri"/>
      <family val="2"/>
      <scheme val="minor"/>
    </font>
    <font>
      <i/>
      <sz val="8"/>
      <name val="Calibri"/>
      <family val="2"/>
      <scheme val="minor"/>
    </font>
    <font>
      <i/>
      <sz val="10"/>
      <name val="Calibri"/>
      <family val="2"/>
      <scheme val="minor"/>
    </font>
    <font>
      <b/>
      <sz val="18"/>
      <color theme="4" tint="0.39997558519241921"/>
      <name val="Calibri"/>
      <family val="2"/>
      <scheme val="minor"/>
    </font>
    <font>
      <sz val="10"/>
      <color indexed="8"/>
      <name val="Calibri"/>
      <family val="2"/>
      <scheme val="minor"/>
    </font>
    <font>
      <b/>
      <sz val="18"/>
      <color rgb="FFFF0000"/>
      <name val="Calibri"/>
      <family val="2"/>
      <scheme val="minor"/>
    </font>
    <font>
      <b/>
      <sz val="10"/>
      <color theme="4" tint="0.39997558519241921"/>
      <name val="Calibri"/>
      <family val="2"/>
      <scheme val="minor"/>
    </font>
    <font>
      <b/>
      <i/>
      <sz val="10"/>
      <color rgb="FFFF0000"/>
      <name val="Calibri"/>
      <family val="2"/>
      <scheme val="minor"/>
    </font>
    <font>
      <sz val="8"/>
      <color theme="2"/>
      <name val="Calibri"/>
      <family val="2"/>
      <scheme val="minor"/>
    </font>
    <font>
      <b/>
      <sz val="8"/>
      <name val="Calibri"/>
      <family val="2"/>
      <scheme val="minor"/>
    </font>
    <font>
      <i/>
      <sz val="6"/>
      <name val="Calibri"/>
      <family val="2"/>
      <scheme val="minor"/>
    </font>
    <font>
      <b/>
      <i/>
      <sz val="6"/>
      <name val="Calibri"/>
      <family val="2"/>
      <scheme val="minor"/>
    </font>
    <font>
      <b/>
      <sz val="20"/>
      <name val="Calibri"/>
      <family val="2"/>
      <scheme val="minor"/>
    </font>
    <font>
      <sz val="12"/>
      <name val="Calibri"/>
      <family val="2"/>
      <scheme val="minor"/>
    </font>
    <font>
      <sz val="6"/>
      <color theme="2" tint="-0.249977111117893"/>
      <name val="Calibri"/>
      <family val="2"/>
      <scheme val="minor"/>
    </font>
    <font>
      <b/>
      <sz val="8"/>
      <color theme="2" tint="-0.249977111117893"/>
      <name val="Calibri"/>
      <family val="2"/>
      <scheme val="minor"/>
    </font>
    <font>
      <b/>
      <sz val="8"/>
      <color rgb="FFFF0000"/>
      <name val="Calibri"/>
      <family val="2"/>
      <scheme val="minor"/>
    </font>
    <font>
      <sz val="11"/>
      <color rgb="FFFF0000"/>
      <name val="Calibri"/>
      <family val="2"/>
      <scheme val="minor"/>
    </font>
    <font>
      <sz val="8"/>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rgb="FF99CCFF"/>
        <bgColor indexed="64"/>
      </patternFill>
    </fill>
    <fill>
      <patternFill patternType="solid">
        <fgColor theme="4" tint="0.39994506668294322"/>
        <bgColor indexed="64"/>
      </patternFill>
    </fill>
    <fill>
      <patternFill patternType="solid">
        <fgColor theme="0"/>
        <bgColor indexed="64"/>
      </patternFill>
    </fill>
  </fills>
  <borders count="79">
    <border>
      <left/>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8"/>
      </bottom>
      <diagonal/>
    </border>
    <border>
      <left/>
      <right/>
      <top/>
      <bottom style="medium">
        <color indexed="64"/>
      </bottom>
      <diagonal/>
    </border>
    <border>
      <left/>
      <right/>
      <top/>
      <bottom style="thin">
        <color indexed="64"/>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right style="thin">
        <color indexed="8"/>
      </right>
      <top style="thin">
        <color indexed="8"/>
      </top>
      <bottom/>
      <diagonal/>
    </border>
    <border>
      <left style="thin">
        <color indexed="64"/>
      </left>
      <right style="thin">
        <color indexed="64"/>
      </right>
      <top style="thin">
        <color indexed="64"/>
      </top>
      <bottom/>
      <diagonal/>
    </border>
    <border>
      <left/>
      <right style="thin">
        <color indexed="8"/>
      </right>
      <top style="thin">
        <color indexed="8"/>
      </top>
      <bottom style="thin">
        <color indexed="8"/>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8"/>
      </left>
      <right style="thin">
        <color indexed="64"/>
      </right>
      <top style="thin">
        <color indexed="8"/>
      </top>
      <bottom style="thin">
        <color indexed="8"/>
      </bottom>
      <diagonal/>
    </border>
    <border>
      <left style="thin">
        <color indexed="64"/>
      </left>
      <right/>
      <top style="medium">
        <color indexed="64"/>
      </top>
      <bottom style="medium">
        <color indexed="64"/>
      </bottom>
      <diagonal/>
    </border>
    <border>
      <left/>
      <right/>
      <top style="thin">
        <color indexed="64"/>
      </top>
      <bottom/>
      <diagonal/>
    </border>
    <border>
      <left/>
      <right/>
      <top style="medium">
        <color indexed="64"/>
      </top>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8"/>
      </top>
      <bottom/>
      <diagonal/>
    </border>
    <border>
      <left style="medium">
        <color indexed="8"/>
      </left>
      <right/>
      <top/>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8"/>
      </left>
      <right style="thin">
        <color indexed="8"/>
      </right>
      <top/>
      <bottom style="thin">
        <color indexed="8"/>
      </bottom>
      <diagonal/>
    </border>
    <border>
      <left style="thin">
        <color indexed="64"/>
      </left>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64"/>
      </bottom>
      <diagonal/>
    </border>
    <border>
      <left style="medium">
        <color indexed="64"/>
      </left>
      <right style="medium">
        <color indexed="64"/>
      </right>
      <top/>
      <bottom/>
      <diagonal/>
    </border>
    <border>
      <left style="medium">
        <color indexed="64"/>
      </left>
      <right/>
      <top/>
      <bottom/>
      <diagonal/>
    </border>
    <border>
      <left/>
      <right style="thin">
        <color indexed="64"/>
      </right>
      <top/>
      <bottom style="medium">
        <color indexed="64"/>
      </bottom>
      <diagonal/>
    </border>
    <border>
      <left style="medium">
        <color indexed="8"/>
      </left>
      <right style="thin">
        <color indexed="8"/>
      </right>
      <top style="medium">
        <color indexed="8"/>
      </top>
      <bottom/>
      <diagonal/>
    </border>
    <border>
      <left style="medium">
        <color indexed="8"/>
      </left>
      <right style="thin">
        <color indexed="8"/>
      </right>
      <top/>
      <bottom style="medium">
        <color indexed="8"/>
      </bottom>
      <diagonal/>
    </border>
    <border>
      <left style="thin">
        <color indexed="8"/>
      </left>
      <right style="medium">
        <color indexed="64"/>
      </right>
      <top style="medium">
        <color indexed="64"/>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right style="thin">
        <color indexed="8"/>
      </right>
      <top style="medium">
        <color indexed="64"/>
      </top>
      <bottom style="thin">
        <color indexed="8"/>
      </bottom>
      <diagonal/>
    </border>
    <border>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diagonal/>
    </border>
    <border>
      <left style="thin">
        <color indexed="64"/>
      </left>
      <right/>
      <top style="thin">
        <color indexed="64"/>
      </top>
      <bottom/>
      <diagonal/>
    </border>
    <border>
      <left style="thin">
        <color indexed="64"/>
      </left>
      <right/>
      <top/>
      <bottom style="thin">
        <color indexed="8"/>
      </bottom>
      <diagonal/>
    </border>
    <border>
      <left style="thin">
        <color indexed="8"/>
      </left>
      <right/>
      <top style="thin">
        <color indexed="8"/>
      </top>
      <bottom/>
      <diagonal/>
    </border>
    <border>
      <left/>
      <right style="thin">
        <color indexed="64"/>
      </right>
      <top style="thin">
        <color indexed="8"/>
      </top>
      <bottom/>
      <diagonal/>
    </border>
    <border>
      <left style="thin">
        <color indexed="8"/>
      </left>
      <right/>
      <top/>
      <bottom/>
      <diagonal/>
    </border>
    <border>
      <left style="thin">
        <color indexed="8"/>
      </left>
      <right/>
      <top/>
      <bottom style="thin">
        <color indexed="8"/>
      </bottom>
      <diagonal/>
    </border>
    <border>
      <left/>
      <right style="thin">
        <color indexed="64"/>
      </right>
      <top/>
      <bottom style="thin">
        <color indexed="8"/>
      </bottom>
      <diagonal/>
    </border>
    <border>
      <left style="thin">
        <color indexed="8"/>
      </left>
      <right style="medium">
        <color indexed="8"/>
      </right>
      <top style="medium">
        <color indexed="8"/>
      </top>
      <bottom/>
      <diagonal/>
    </border>
    <border>
      <left style="thin">
        <color indexed="8"/>
      </left>
      <right style="medium">
        <color indexed="8"/>
      </right>
      <top/>
      <bottom style="medium">
        <color indexed="8"/>
      </bottom>
      <diagonal/>
    </border>
    <border>
      <left/>
      <right style="medium">
        <color indexed="8"/>
      </right>
      <top style="thin">
        <color indexed="8"/>
      </top>
      <bottom style="thin">
        <color indexed="8"/>
      </bottom>
      <diagonal/>
    </border>
  </borders>
  <cellStyleXfs count="2">
    <xf numFmtId="0" fontId="0" fillId="0" borderId="0"/>
    <xf numFmtId="0" fontId="5" fillId="0" borderId="0"/>
  </cellStyleXfs>
  <cellXfs count="334">
    <xf numFmtId="0" fontId="0" fillId="0" borderId="0" xfId="0"/>
    <xf numFmtId="0" fontId="3" fillId="0" borderId="0" xfId="0" applyFont="1" applyBorder="1" applyAlignment="1" applyProtection="1">
      <protection hidden="1"/>
    </xf>
    <xf numFmtId="0" fontId="0" fillId="0" borderId="0" xfId="0" applyProtection="1">
      <protection hidden="1"/>
    </xf>
    <xf numFmtId="0" fontId="3" fillId="0" borderId="0" xfId="0" applyFont="1" applyAlignment="1" applyProtection="1">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0" fillId="0" borderId="0" xfId="0" applyAlignment="1" applyProtection="1">
      <protection hidden="1"/>
    </xf>
    <xf numFmtId="49" fontId="0" fillId="0" borderId="8" xfId="0" applyNumberFormat="1" applyBorder="1" applyAlignment="1" applyProtection="1">
      <alignment horizontal="center" vertical="center"/>
      <protection hidden="1"/>
    </xf>
    <xf numFmtId="49" fontId="0" fillId="0" borderId="8" xfId="0" applyNumberFormat="1" applyBorder="1" applyAlignment="1" applyProtection="1">
      <alignment horizontal="center"/>
      <protection hidden="1"/>
    </xf>
    <xf numFmtId="0" fontId="0" fillId="0" borderId="8" xfId="0" applyBorder="1" applyProtection="1">
      <protection hidden="1"/>
    </xf>
    <xf numFmtId="0" fontId="0" fillId="0" borderId="8" xfId="0" applyBorder="1" applyAlignment="1" applyProtection="1">
      <alignment horizontal="right" vertical="top"/>
      <protection hidden="1"/>
    </xf>
    <xf numFmtId="164" fontId="0" fillId="0" borderId="9" xfId="0" applyNumberFormat="1" applyBorder="1" applyAlignment="1" applyProtection="1">
      <alignment horizontal="right" vertical="center"/>
      <protection hidden="1"/>
    </xf>
    <xf numFmtId="0" fontId="0" fillId="0" borderId="9" xfId="0" applyBorder="1" applyAlignment="1" applyProtection="1">
      <alignment horizontal="left"/>
      <protection hidden="1"/>
    </xf>
    <xf numFmtId="49" fontId="0" fillId="0" borderId="0" xfId="0" applyNumberFormat="1" applyBorder="1" applyAlignment="1" applyProtection="1">
      <alignment horizontal="center" vertical="center"/>
      <protection hidden="1"/>
    </xf>
    <xf numFmtId="49" fontId="0" fillId="0" borderId="0" xfId="0" applyNumberFormat="1" applyBorder="1" applyAlignment="1" applyProtection="1">
      <alignment horizontal="center"/>
      <protection hidden="1"/>
    </xf>
    <xf numFmtId="0" fontId="0" fillId="0" borderId="0" xfId="0" applyBorder="1" applyProtection="1">
      <protection hidden="1"/>
    </xf>
    <xf numFmtId="0" fontId="0" fillId="0" borderId="0" xfId="0" applyBorder="1" applyAlignment="1" applyProtection="1">
      <alignment horizontal="right" vertical="top"/>
      <protection hidden="1"/>
    </xf>
    <xf numFmtId="164" fontId="0" fillId="0" borderId="0" xfId="0" applyNumberFormat="1" applyAlignment="1" applyProtection="1">
      <alignment horizontal="right" vertical="center"/>
      <protection hidden="1"/>
    </xf>
    <xf numFmtId="0" fontId="0" fillId="0" borderId="0" xfId="0" applyAlignment="1" applyProtection="1">
      <alignment horizontal="left"/>
      <protection hidden="1"/>
    </xf>
    <xf numFmtId="0" fontId="0" fillId="0" borderId="10" xfId="0" applyBorder="1" applyProtection="1">
      <protection hidden="1"/>
    </xf>
    <xf numFmtId="0" fontId="9" fillId="5" borderId="0" xfId="0" applyFont="1" applyFill="1" applyProtection="1">
      <protection hidden="1"/>
    </xf>
    <xf numFmtId="0" fontId="2" fillId="0" borderId="0" xfId="0" applyFont="1" applyProtection="1">
      <protection hidden="1"/>
    </xf>
    <xf numFmtId="20" fontId="1" fillId="0" borderId="0" xfId="0" applyNumberFormat="1" applyFont="1" applyAlignment="1" applyProtection="1">
      <alignment horizontal="center"/>
      <protection hidden="1"/>
    </xf>
    <xf numFmtId="0" fontId="6" fillId="0" borderId="0" xfId="1" applyFont="1" applyAlignment="1" applyProtection="1">
      <alignment vertical="center"/>
      <protection hidden="1"/>
    </xf>
    <xf numFmtId="0" fontId="5" fillId="0" borderId="0" xfId="1" applyProtection="1">
      <protection hidden="1"/>
    </xf>
    <xf numFmtId="0" fontId="0" fillId="0" borderId="0" xfId="0" applyFill="1" applyProtection="1">
      <protection hidden="1"/>
    </xf>
    <xf numFmtId="0" fontId="5" fillId="0" borderId="0" xfId="0" applyFont="1"/>
    <xf numFmtId="166" fontId="5" fillId="0" borderId="0" xfId="0" applyNumberFormat="1" applyFont="1"/>
    <xf numFmtId="1" fontId="0" fillId="0" borderId="0" xfId="0" applyNumberFormat="1"/>
    <xf numFmtId="0" fontId="13" fillId="0" borderId="20" xfId="1" applyFont="1" applyBorder="1" applyAlignment="1" applyProtection="1">
      <alignment horizontal="center" vertical="center"/>
      <protection hidden="1"/>
    </xf>
    <xf numFmtId="0" fontId="14" fillId="0" borderId="20" xfId="1" applyFont="1" applyBorder="1" applyAlignment="1" applyProtection="1">
      <alignment horizontal="center" vertical="center"/>
      <protection hidden="1"/>
    </xf>
    <xf numFmtId="0" fontId="14" fillId="0" borderId="21" xfId="1" applyFont="1" applyBorder="1" applyAlignment="1" applyProtection="1">
      <alignment horizontal="center" vertical="center"/>
      <protection hidden="1"/>
    </xf>
    <xf numFmtId="0" fontId="15" fillId="0" borderId="0" xfId="1" applyFont="1" applyBorder="1" applyAlignment="1" applyProtection="1">
      <alignment horizontal="left" vertical="center"/>
      <protection hidden="1"/>
    </xf>
    <xf numFmtId="0" fontId="13" fillId="0" borderId="0" xfId="1" applyFont="1" applyBorder="1" applyAlignment="1" applyProtection="1">
      <alignment vertical="center"/>
      <protection hidden="1"/>
    </xf>
    <xf numFmtId="0" fontId="13" fillId="0" borderId="0" xfId="1" applyFont="1" applyAlignment="1" applyProtection="1">
      <alignment vertical="center"/>
      <protection hidden="1"/>
    </xf>
    <xf numFmtId="0" fontId="16" fillId="0" borderId="9" xfId="1" applyFont="1" applyBorder="1" applyAlignment="1" applyProtection="1">
      <alignment vertical="center"/>
      <protection hidden="1"/>
    </xf>
    <xf numFmtId="0" fontId="13" fillId="0" borderId="9" xfId="1" applyFont="1" applyBorder="1" applyAlignment="1" applyProtection="1">
      <alignment vertical="center"/>
      <protection hidden="1"/>
    </xf>
    <xf numFmtId="0" fontId="17" fillId="0" borderId="9" xfId="1" applyFont="1" applyBorder="1" applyAlignment="1" applyProtection="1">
      <alignment vertical="center"/>
      <protection hidden="1"/>
    </xf>
    <xf numFmtId="0" fontId="19" fillId="0" borderId="21" xfId="1" applyFont="1" applyBorder="1" applyAlignment="1" applyProtection="1">
      <alignment horizontal="left" vertical="center" wrapText="1"/>
      <protection hidden="1"/>
    </xf>
    <xf numFmtId="0" fontId="19" fillId="0" borderId="22" xfId="1" applyFont="1" applyBorder="1" applyAlignment="1" applyProtection="1">
      <alignment horizontal="left" vertical="center" wrapText="1"/>
      <protection hidden="1"/>
    </xf>
    <xf numFmtId="0" fontId="14" fillId="0" borderId="0" xfId="1" applyFont="1" applyProtection="1">
      <protection hidden="1"/>
    </xf>
    <xf numFmtId="0" fontId="19" fillId="0" borderId="21" xfId="1" applyFont="1" applyBorder="1" applyAlignment="1" applyProtection="1">
      <alignment vertical="center"/>
      <protection hidden="1"/>
    </xf>
    <xf numFmtId="20" fontId="14" fillId="0" borderId="0" xfId="1" applyNumberFormat="1" applyFont="1" applyProtection="1">
      <protection hidden="1"/>
    </xf>
    <xf numFmtId="164" fontId="19" fillId="0" borderId="1" xfId="1" applyNumberFormat="1" applyFont="1" applyBorder="1" applyAlignment="1" applyProtection="1">
      <alignment horizontal="center" vertical="center"/>
      <protection hidden="1"/>
    </xf>
    <xf numFmtId="1" fontId="12" fillId="0" borderId="2" xfId="1" applyNumberFormat="1" applyFont="1" applyFill="1" applyBorder="1" applyAlignment="1" applyProtection="1">
      <alignment horizontal="center" vertical="center"/>
      <protection hidden="1"/>
    </xf>
    <xf numFmtId="1" fontId="12" fillId="0" borderId="0" xfId="1" applyNumberFormat="1" applyFont="1" applyAlignment="1" applyProtection="1">
      <alignment horizontal="center" vertical="center"/>
      <protection hidden="1"/>
    </xf>
    <xf numFmtId="164" fontId="12" fillId="0" borderId="2" xfId="1" applyNumberFormat="1" applyFont="1" applyFill="1" applyBorder="1" applyAlignment="1" applyProtection="1">
      <alignment horizontal="center" vertical="center"/>
      <protection hidden="1"/>
    </xf>
    <xf numFmtId="164" fontId="19" fillId="5" borderId="1" xfId="1" applyNumberFormat="1" applyFont="1" applyFill="1" applyBorder="1" applyAlignment="1" applyProtection="1">
      <alignment horizontal="center" vertical="center"/>
      <protection hidden="1"/>
    </xf>
    <xf numFmtId="0" fontId="24" fillId="0" borderId="0" xfId="1" applyFont="1" applyAlignment="1" applyProtection="1">
      <alignment horizontal="center"/>
      <protection hidden="1"/>
    </xf>
    <xf numFmtId="2" fontId="11" fillId="0" borderId="0" xfId="1" applyNumberFormat="1" applyFont="1" applyAlignment="1" applyProtection="1">
      <alignment horizontal="center" vertical="center"/>
      <protection hidden="1"/>
    </xf>
    <xf numFmtId="0" fontId="24" fillId="0" borderId="0" xfId="1" applyFont="1" applyAlignment="1" applyProtection="1">
      <alignment horizontal="center" vertical="center"/>
      <protection hidden="1"/>
    </xf>
    <xf numFmtId="0" fontId="14" fillId="0" borderId="0" xfId="1" applyFont="1" applyAlignment="1" applyProtection="1">
      <alignment horizontal="center"/>
      <protection hidden="1"/>
    </xf>
    <xf numFmtId="49" fontId="25" fillId="0" borderId="0" xfId="1" applyNumberFormat="1" applyFont="1" applyProtection="1">
      <protection hidden="1"/>
    </xf>
    <xf numFmtId="49" fontId="14" fillId="0" borderId="0" xfId="1" applyNumberFormat="1" applyFont="1" applyAlignment="1" applyProtection="1">
      <alignment horizontal="center" vertical="center"/>
      <protection hidden="1"/>
    </xf>
    <xf numFmtId="49" fontId="14" fillId="0" borderId="0" xfId="1" applyNumberFormat="1" applyFont="1" applyProtection="1">
      <protection hidden="1"/>
    </xf>
    <xf numFmtId="0" fontId="26" fillId="0" borderId="0" xfId="0" applyNumberFormat="1" applyFont="1" applyBorder="1" applyProtection="1">
      <protection hidden="1"/>
    </xf>
    <xf numFmtId="0" fontId="14" fillId="0" borderId="0" xfId="1" applyFont="1" applyAlignment="1" applyProtection="1">
      <alignment horizontal="center" vertical="center"/>
      <protection hidden="1"/>
    </xf>
    <xf numFmtId="49" fontId="27" fillId="0" borderId="0" xfId="1" applyNumberFormat="1" applyFont="1" applyProtection="1">
      <protection hidden="1"/>
    </xf>
    <xf numFmtId="0" fontId="26" fillId="0" borderId="0" xfId="0" applyNumberFormat="1" applyFont="1" applyProtection="1">
      <protection hidden="1"/>
    </xf>
    <xf numFmtId="49" fontId="25" fillId="0" borderId="0" xfId="0" applyNumberFormat="1" applyFont="1" applyAlignment="1"/>
    <xf numFmtId="0" fontId="26" fillId="0" borderId="0" xfId="0" applyNumberFormat="1" applyFont="1" applyAlignment="1" applyProtection="1">
      <alignment horizontal="left" vertical="center"/>
      <protection hidden="1"/>
    </xf>
    <xf numFmtId="49" fontId="21" fillId="0" borderId="0" xfId="1" quotePrefix="1" applyNumberFormat="1" applyFont="1" applyFill="1" applyBorder="1" applyAlignment="1" applyProtection="1">
      <alignment horizontal="right" vertical="center"/>
      <protection hidden="1"/>
    </xf>
    <xf numFmtId="0" fontId="29" fillId="0" borderId="0" xfId="1" applyFont="1" applyAlignment="1" applyProtection="1">
      <alignment horizontal="center"/>
      <protection hidden="1"/>
    </xf>
    <xf numFmtId="0" fontId="19" fillId="0" borderId="20" xfId="1" applyFont="1" applyFill="1" applyBorder="1" applyAlignment="1" applyProtection="1">
      <alignment horizontal="left" vertical="center"/>
      <protection hidden="1"/>
    </xf>
    <xf numFmtId="0" fontId="31" fillId="0" borderId="21" xfId="1" applyFont="1" applyBorder="1" applyAlignment="1" applyProtection="1">
      <alignment vertical="center"/>
      <protection hidden="1"/>
    </xf>
    <xf numFmtId="46" fontId="31" fillId="0" borderId="2" xfId="1" applyNumberFormat="1" applyFont="1" applyBorder="1" applyAlignment="1" applyProtection="1">
      <alignment horizontal="center" vertical="center"/>
      <protection hidden="1"/>
    </xf>
    <xf numFmtId="164" fontId="31" fillId="2" borderId="1" xfId="1" applyNumberFormat="1" applyFont="1" applyFill="1" applyBorder="1" applyAlignment="1" applyProtection="1">
      <alignment horizontal="center" vertical="center"/>
      <protection hidden="1"/>
    </xf>
    <xf numFmtId="46" fontId="31" fillId="0" borderId="23" xfId="1" applyNumberFormat="1" applyFont="1" applyBorder="1" applyAlignment="1" applyProtection="1">
      <alignment horizontal="center" vertical="center"/>
      <protection hidden="1"/>
    </xf>
    <xf numFmtId="46" fontId="31" fillId="0" borderId="25" xfId="1" applyNumberFormat="1" applyFont="1" applyBorder="1" applyAlignment="1" applyProtection="1">
      <alignment horizontal="center" vertical="center"/>
      <protection hidden="1"/>
    </xf>
    <xf numFmtId="46" fontId="31" fillId="2" borderId="1" xfId="1" applyNumberFormat="1" applyFont="1" applyFill="1" applyBorder="1" applyAlignment="1" applyProtection="1">
      <alignment horizontal="center" vertical="center"/>
      <protection hidden="1"/>
    </xf>
    <xf numFmtId="0" fontId="31" fillId="0" borderId="21" xfId="1" applyFont="1" applyBorder="1" applyAlignment="1" applyProtection="1">
      <alignment vertical="center" wrapText="1"/>
      <protection hidden="1"/>
    </xf>
    <xf numFmtId="164" fontId="11" fillId="0" borderId="26" xfId="1" applyNumberFormat="1" applyFont="1" applyBorder="1" applyAlignment="1" applyProtection="1">
      <alignment vertical="center" wrapText="1"/>
      <protection hidden="1"/>
    </xf>
    <xf numFmtId="164" fontId="11" fillId="0" borderId="56" xfId="1" applyNumberFormat="1" applyFont="1" applyBorder="1" applyAlignment="1" applyProtection="1">
      <alignment vertical="center" wrapText="1"/>
      <protection hidden="1"/>
    </xf>
    <xf numFmtId="164" fontId="31" fillId="0" borderId="1" xfId="1" applyNumberFormat="1" applyFont="1" applyFill="1" applyBorder="1" applyAlignment="1" applyProtection="1">
      <alignment horizontal="center" vertical="center"/>
      <protection hidden="1"/>
    </xf>
    <xf numFmtId="9" fontId="31" fillId="3" borderId="1" xfId="1" applyNumberFormat="1" applyFont="1" applyFill="1" applyBorder="1" applyAlignment="1" applyProtection="1">
      <alignment horizontal="center" vertical="center" wrapText="1"/>
      <protection locked="0"/>
    </xf>
    <xf numFmtId="164" fontId="31" fillId="0" borderId="24" xfId="1" applyNumberFormat="1" applyFont="1" applyFill="1" applyBorder="1" applyAlignment="1" applyProtection="1">
      <alignment horizontal="center" vertical="center"/>
      <protection hidden="1"/>
    </xf>
    <xf numFmtId="164" fontId="31" fillId="3" borderId="1" xfId="1" applyNumberFormat="1" applyFont="1" applyFill="1" applyBorder="1" applyAlignment="1" applyProtection="1">
      <alignment horizontal="center" vertical="center"/>
      <protection locked="0"/>
    </xf>
    <xf numFmtId="164" fontId="32" fillId="0" borderId="26" xfId="1" applyNumberFormat="1" applyFont="1" applyBorder="1" applyAlignment="1" applyProtection="1">
      <alignment vertical="center"/>
      <protection hidden="1"/>
    </xf>
    <xf numFmtId="0" fontId="19" fillId="0" borderId="27" xfId="1" applyFont="1" applyBorder="1" applyAlignment="1" applyProtection="1">
      <alignment vertical="center"/>
      <protection hidden="1"/>
    </xf>
    <xf numFmtId="0" fontId="19" fillId="0" borderId="25" xfId="1" applyFont="1" applyBorder="1" applyAlignment="1" applyProtection="1">
      <alignment horizontal="center" vertical="center"/>
      <protection hidden="1"/>
    </xf>
    <xf numFmtId="0" fontId="19" fillId="0" borderId="22" xfId="1" applyFont="1" applyBorder="1" applyAlignment="1" applyProtection="1">
      <alignment vertical="center"/>
      <protection hidden="1"/>
    </xf>
    <xf numFmtId="0" fontId="19" fillId="0" borderId="22" xfId="1" applyFont="1" applyBorder="1" applyAlignment="1" applyProtection="1">
      <alignment vertical="center"/>
      <protection locked="0"/>
    </xf>
    <xf numFmtId="0" fontId="19" fillId="0" borderId="1" xfId="1" applyFont="1" applyBorder="1" applyAlignment="1" applyProtection="1">
      <alignment horizontal="center" vertical="center"/>
      <protection hidden="1"/>
    </xf>
    <xf numFmtId="0" fontId="27" fillId="0" borderId="15" xfId="0" applyFont="1" applyBorder="1" applyAlignment="1" applyProtection="1">
      <alignment horizontal="center" vertical="center"/>
      <protection hidden="1"/>
    </xf>
    <xf numFmtId="0" fontId="27" fillId="0" borderId="12" xfId="0" applyFont="1" applyBorder="1" applyAlignment="1" applyProtection="1">
      <alignment horizontal="center" vertical="center"/>
      <protection hidden="1"/>
    </xf>
    <xf numFmtId="14" fontId="35" fillId="3" borderId="3" xfId="0" applyNumberFormat="1" applyFont="1" applyFill="1" applyBorder="1" applyAlignment="1" applyProtection="1">
      <alignment horizontal="center" vertical="center"/>
      <protection hidden="1"/>
    </xf>
    <xf numFmtId="0" fontId="14" fillId="0" borderId="13" xfId="0" applyFont="1" applyFill="1" applyBorder="1" applyAlignment="1" applyProtection="1">
      <alignment horizontal="center" vertical="center"/>
      <protection hidden="1"/>
    </xf>
    <xf numFmtId="20" fontId="36" fillId="0" borderId="3" xfId="0" applyNumberFormat="1" applyFont="1" applyFill="1" applyBorder="1" applyAlignment="1" applyProtection="1">
      <alignment horizontal="center" vertical="center"/>
      <protection locked="0"/>
    </xf>
    <xf numFmtId="164" fontId="14" fillId="0" borderId="28" xfId="0" applyNumberFormat="1" applyFont="1" applyFill="1" applyBorder="1" applyAlignment="1" applyProtection="1">
      <alignment horizontal="center" vertical="center"/>
      <protection hidden="1"/>
    </xf>
    <xf numFmtId="164" fontId="36" fillId="0" borderId="7" xfId="0" applyNumberFormat="1" applyFont="1" applyFill="1" applyBorder="1" applyAlignment="1" applyProtection="1">
      <alignment horizontal="center"/>
      <protection hidden="1"/>
    </xf>
    <xf numFmtId="164" fontId="36" fillId="0" borderId="3" xfId="0" applyNumberFormat="1" applyFont="1" applyFill="1" applyBorder="1" applyAlignment="1" applyProtection="1">
      <alignment horizontal="center" vertical="center"/>
      <protection hidden="1"/>
    </xf>
    <xf numFmtId="164" fontId="37" fillId="0" borderId="6" xfId="0" applyNumberFormat="1" applyFont="1" applyFill="1" applyBorder="1" applyAlignment="1" applyProtection="1">
      <alignment horizontal="right"/>
      <protection hidden="1"/>
    </xf>
    <xf numFmtId="164" fontId="18" fillId="0" borderId="7" xfId="0" applyNumberFormat="1" applyFont="1" applyFill="1" applyBorder="1" applyAlignment="1" applyProtection="1">
      <alignment horizontal="left"/>
      <protection hidden="1"/>
    </xf>
    <xf numFmtId="0" fontId="38" fillId="0" borderId="13" xfId="0" applyFont="1" applyFill="1" applyBorder="1" applyAlignment="1" applyProtection="1">
      <alignment horizontal="center" vertical="center"/>
      <protection hidden="1"/>
    </xf>
    <xf numFmtId="0" fontId="14" fillId="2" borderId="13" xfId="0" applyFont="1" applyFill="1" applyBorder="1" applyAlignment="1" applyProtection="1">
      <alignment horizontal="center" vertical="center"/>
      <protection hidden="1"/>
    </xf>
    <xf numFmtId="164" fontId="37" fillId="3" borderId="6" xfId="0" applyNumberFormat="1" applyFont="1" applyFill="1" applyBorder="1" applyAlignment="1" applyProtection="1">
      <alignment horizontal="right"/>
      <protection hidden="1"/>
    </xf>
    <xf numFmtId="164" fontId="18" fillId="3" borderId="7" xfId="0" applyNumberFormat="1" applyFont="1" applyFill="1" applyBorder="1" applyAlignment="1" applyProtection="1">
      <alignment horizontal="left"/>
      <protection hidden="1"/>
    </xf>
    <xf numFmtId="164" fontId="39" fillId="3" borderId="6" xfId="0" applyNumberFormat="1" applyFont="1" applyFill="1" applyBorder="1" applyAlignment="1" applyProtection="1">
      <alignment horizontal="right"/>
      <protection hidden="1"/>
    </xf>
    <xf numFmtId="0" fontId="18" fillId="5" borderId="6" xfId="0" applyFont="1" applyFill="1" applyBorder="1" applyAlignment="1" applyProtection="1">
      <alignment horizontal="left" vertical="center"/>
      <protection hidden="1"/>
    </xf>
    <xf numFmtId="20" fontId="14" fillId="5" borderId="14" xfId="0" applyNumberFormat="1" applyFont="1" applyFill="1" applyBorder="1" applyAlignment="1" applyProtection="1">
      <alignment horizontal="left" vertical="center"/>
      <protection hidden="1"/>
    </xf>
    <xf numFmtId="0" fontId="14" fillId="5" borderId="14" xfId="0" applyFont="1" applyFill="1" applyBorder="1" applyAlignment="1" applyProtection="1">
      <alignment horizontal="center"/>
      <protection hidden="1"/>
    </xf>
    <xf numFmtId="20" fontId="22" fillId="5" borderId="14" xfId="0" applyNumberFormat="1" applyFont="1" applyFill="1" applyBorder="1" applyAlignment="1" applyProtection="1">
      <alignment horizontal="left" vertical="center"/>
      <protection hidden="1"/>
    </xf>
    <xf numFmtId="20" fontId="22" fillId="5" borderId="3" xfId="0" applyNumberFormat="1" applyFont="1" applyFill="1" applyBorder="1" applyAlignment="1" applyProtection="1">
      <alignment horizontal="center"/>
      <protection locked="0"/>
    </xf>
    <xf numFmtId="164" fontId="37" fillId="5" borderId="6" xfId="0" applyNumberFormat="1" applyFont="1" applyFill="1" applyBorder="1" applyAlignment="1" applyProtection="1">
      <alignment horizontal="right"/>
      <protection hidden="1"/>
    </xf>
    <xf numFmtId="164" fontId="18" fillId="5" borderId="7" xfId="0" applyNumberFormat="1" applyFont="1" applyFill="1" applyBorder="1" applyAlignment="1" applyProtection="1">
      <alignment horizontal="left"/>
      <protection hidden="1"/>
    </xf>
    <xf numFmtId="0" fontId="14" fillId="0" borderId="0" xfId="0" applyFont="1" applyProtection="1">
      <protection hidden="1"/>
    </xf>
    <xf numFmtId="0" fontId="18" fillId="0" borderId="0" xfId="0" applyFont="1" applyAlignment="1" applyProtection="1">
      <alignment horizontal="right"/>
      <protection hidden="1"/>
    </xf>
    <xf numFmtId="0" fontId="14" fillId="0" borderId="0" xfId="0" applyFont="1" applyAlignment="1" applyProtection="1">
      <alignment horizontal="right"/>
      <protection hidden="1"/>
    </xf>
    <xf numFmtId="0" fontId="14" fillId="0" borderId="0" xfId="0" applyFont="1" applyAlignment="1" applyProtection="1">
      <alignment vertical="center"/>
      <protection locked="0"/>
    </xf>
    <xf numFmtId="0" fontId="21" fillId="0" borderId="0" xfId="0" applyFont="1" applyBorder="1" applyProtection="1">
      <protection hidden="1"/>
    </xf>
    <xf numFmtId="0" fontId="14" fillId="0" borderId="0" xfId="0" applyFont="1" applyProtection="1">
      <protection locked="0"/>
    </xf>
    <xf numFmtId="0" fontId="42" fillId="0" borderId="0" xfId="0" applyNumberFormat="1" applyFont="1" applyBorder="1" applyAlignment="1" applyProtection="1">
      <alignment horizontal="left"/>
      <protection hidden="1"/>
    </xf>
    <xf numFmtId="20" fontId="42" fillId="0" borderId="0" xfId="0" applyNumberFormat="1" applyFont="1" applyBorder="1" applyAlignment="1" applyProtection="1">
      <alignment horizontal="center"/>
      <protection hidden="1"/>
    </xf>
    <xf numFmtId="0" fontId="42" fillId="0" borderId="0" xfId="0" applyFont="1" applyProtection="1">
      <protection hidden="1"/>
    </xf>
    <xf numFmtId="0" fontId="21" fillId="0" borderId="0" xfId="0" applyFont="1" applyBorder="1" applyProtection="1">
      <protection locked="0"/>
    </xf>
    <xf numFmtId="0" fontId="42" fillId="0" borderId="0" xfId="0" applyFont="1" applyAlignment="1" applyProtection="1">
      <alignment horizontal="left" vertical="center"/>
      <protection hidden="1"/>
    </xf>
    <xf numFmtId="0" fontId="42" fillId="0" borderId="0" xfId="0" applyFont="1" applyAlignment="1" applyProtection="1">
      <alignment horizontal="right" vertical="center"/>
      <protection hidden="1"/>
    </xf>
    <xf numFmtId="0" fontId="21" fillId="0" borderId="0" xfId="0" applyFont="1" applyBorder="1" applyAlignment="1" applyProtection="1">
      <alignment vertical="center" wrapText="1"/>
      <protection hidden="1"/>
    </xf>
    <xf numFmtId="0" fontId="44" fillId="0" borderId="0" xfId="0" applyFont="1" applyBorder="1" applyAlignment="1" applyProtection="1">
      <alignment vertical="center" wrapText="1"/>
      <protection hidden="1"/>
    </xf>
    <xf numFmtId="49" fontId="14" fillId="0" borderId="0" xfId="0" applyNumberFormat="1" applyFont="1" applyBorder="1" applyAlignment="1" applyProtection="1">
      <alignment horizontal="center" vertical="center"/>
      <protection hidden="1"/>
    </xf>
    <xf numFmtId="49" fontId="14" fillId="0" borderId="0" xfId="0" applyNumberFormat="1" applyFont="1" applyBorder="1" applyAlignment="1" applyProtection="1">
      <alignment horizontal="center"/>
      <protection hidden="1"/>
    </xf>
    <xf numFmtId="0" fontId="14" fillId="0" borderId="0" xfId="0" applyFont="1" applyBorder="1" applyProtection="1">
      <protection hidden="1"/>
    </xf>
    <xf numFmtId="0" fontId="14" fillId="0" borderId="0" xfId="0" applyFont="1" applyBorder="1" applyAlignment="1" applyProtection="1">
      <alignment horizontal="right" vertical="top"/>
      <protection hidden="1"/>
    </xf>
    <xf numFmtId="164" fontId="14" fillId="0" borderId="0" xfId="0" applyNumberFormat="1" applyFont="1" applyAlignment="1" applyProtection="1">
      <alignment horizontal="right" vertical="center"/>
      <protection hidden="1"/>
    </xf>
    <xf numFmtId="0" fontId="14" fillId="0" borderId="0" xfId="0" applyFont="1" applyAlignment="1" applyProtection="1">
      <alignment horizontal="left"/>
      <protection hidden="1"/>
    </xf>
    <xf numFmtId="20" fontId="22" fillId="0" borderId="10" xfId="0" applyNumberFormat="1" applyFont="1" applyBorder="1" applyAlignment="1" applyProtection="1">
      <alignment horizontal="left"/>
      <protection hidden="1"/>
    </xf>
    <xf numFmtId="0" fontId="14" fillId="0" borderId="11" xfId="0" applyFont="1" applyBorder="1" applyAlignment="1" applyProtection="1">
      <alignment horizontal="center"/>
      <protection hidden="1"/>
    </xf>
    <xf numFmtId="0" fontId="14" fillId="0" borderId="11" xfId="0" applyFont="1" applyBorder="1" applyProtection="1">
      <protection hidden="1"/>
    </xf>
    <xf numFmtId="0" fontId="14" fillId="0" borderId="0" xfId="0" applyFont="1" applyBorder="1" applyAlignment="1" applyProtection="1">
      <alignment horizontal="right"/>
      <protection hidden="1"/>
    </xf>
    <xf numFmtId="0" fontId="14" fillId="0" borderId="10" xfId="0" applyFont="1" applyBorder="1" applyProtection="1">
      <protection hidden="1"/>
    </xf>
    <xf numFmtId="166" fontId="22" fillId="0" borderId="10" xfId="0" applyNumberFormat="1" applyFont="1" applyBorder="1" applyAlignment="1" applyProtection="1">
      <alignment horizontal="right"/>
      <protection hidden="1"/>
    </xf>
    <xf numFmtId="0" fontId="22" fillId="0" borderId="10" xfId="0" applyNumberFormat="1" applyFont="1" applyBorder="1" applyAlignment="1" applyProtection="1">
      <alignment horizontal="left"/>
      <protection hidden="1"/>
    </xf>
    <xf numFmtId="164" fontId="14" fillId="0" borderId="10" xfId="0" applyNumberFormat="1" applyFont="1" applyBorder="1" applyAlignment="1" applyProtection="1">
      <alignment horizontal="right" vertical="center"/>
      <protection hidden="1"/>
    </xf>
    <xf numFmtId="0" fontId="14" fillId="0" borderId="10" xfId="0" applyFont="1" applyBorder="1" applyAlignment="1" applyProtection="1">
      <alignment horizontal="left"/>
      <protection hidden="1"/>
    </xf>
    <xf numFmtId="0" fontId="14" fillId="0" borderId="0" xfId="0" applyFont="1" applyAlignment="1" applyProtection="1">
      <alignment horizontal="center" vertical="center"/>
      <protection hidden="1"/>
    </xf>
    <xf numFmtId="0" fontId="14" fillId="0" borderId="0" xfId="0" applyFont="1" applyBorder="1" applyAlignment="1" applyProtection="1">
      <alignment horizontal="left"/>
      <protection hidden="1"/>
    </xf>
    <xf numFmtId="0" fontId="14" fillId="0" borderId="0" xfId="0" applyFont="1" applyBorder="1" applyAlignment="1" applyProtection="1">
      <alignment horizontal="center"/>
      <protection hidden="1"/>
    </xf>
    <xf numFmtId="49" fontId="22" fillId="0" borderId="0" xfId="0" applyNumberFormat="1" applyFont="1" applyBorder="1" applyAlignment="1" applyProtection="1">
      <alignment horizontal="left"/>
      <protection hidden="1"/>
    </xf>
    <xf numFmtId="49" fontId="22" fillId="0" borderId="10" xfId="0" applyNumberFormat="1" applyFont="1" applyBorder="1" applyAlignment="1" applyProtection="1">
      <alignment horizontal="left"/>
      <protection hidden="1"/>
    </xf>
    <xf numFmtId="0" fontId="14" fillId="0" borderId="11" xfId="0" applyFont="1" applyBorder="1" applyAlignment="1" applyProtection="1">
      <protection hidden="1"/>
    </xf>
    <xf numFmtId="0" fontId="14" fillId="0" borderId="10" xfId="0" applyFont="1" applyBorder="1" applyAlignment="1" applyProtection="1">
      <alignment horizontal="right"/>
      <protection hidden="1"/>
    </xf>
    <xf numFmtId="0" fontId="14" fillId="0" borderId="0" xfId="0" applyFont="1" applyAlignment="1" applyProtection="1">
      <alignment horizontal="center"/>
      <protection hidden="1"/>
    </xf>
    <xf numFmtId="20" fontId="14" fillId="5" borderId="10" xfId="0" applyNumberFormat="1" applyFont="1" applyFill="1" applyBorder="1" applyAlignment="1" applyProtection="1">
      <alignment horizontal="left" vertical="center"/>
      <protection hidden="1"/>
    </xf>
    <xf numFmtId="0" fontId="14" fillId="5" borderId="10" xfId="0" applyFont="1" applyFill="1" applyBorder="1" applyAlignment="1" applyProtection="1">
      <alignment horizontal="center"/>
      <protection hidden="1"/>
    </xf>
    <xf numFmtId="20" fontId="22" fillId="5" borderId="10" xfId="0" applyNumberFormat="1" applyFont="1" applyFill="1" applyBorder="1" applyAlignment="1" applyProtection="1">
      <alignment horizontal="left" vertical="center"/>
      <protection hidden="1"/>
    </xf>
    <xf numFmtId="20" fontId="22" fillId="5" borderId="6" xfId="0" applyNumberFormat="1" applyFont="1" applyFill="1" applyBorder="1" applyAlignment="1" applyProtection="1">
      <alignment horizontal="center" vertical="center"/>
      <protection locked="0"/>
    </xf>
    <xf numFmtId="20" fontId="22" fillId="5" borderId="3" xfId="0" applyNumberFormat="1" applyFont="1" applyFill="1" applyBorder="1" applyAlignment="1" applyProtection="1">
      <alignment horizontal="center" vertical="center"/>
      <protection locked="0"/>
    </xf>
    <xf numFmtId="164" fontId="37" fillId="5" borderId="6" xfId="0" applyNumberFormat="1" applyFont="1" applyFill="1" applyBorder="1" applyAlignment="1" applyProtection="1">
      <alignment horizontal="right" vertical="center"/>
      <protection hidden="1"/>
    </xf>
    <xf numFmtId="164" fontId="18" fillId="5" borderId="7" xfId="0" applyNumberFormat="1" applyFont="1" applyFill="1" applyBorder="1" applyAlignment="1" applyProtection="1">
      <alignment horizontal="left" vertical="center"/>
      <protection hidden="1"/>
    </xf>
    <xf numFmtId="49" fontId="13" fillId="0" borderId="0" xfId="0" applyNumberFormat="1" applyFont="1" applyBorder="1" applyProtection="1">
      <protection hidden="1"/>
    </xf>
    <xf numFmtId="20" fontId="13" fillId="0" borderId="0" xfId="0" applyNumberFormat="1" applyFont="1" applyBorder="1" applyAlignment="1" applyProtection="1">
      <alignment horizontal="center"/>
      <protection hidden="1"/>
    </xf>
    <xf numFmtId="0" fontId="13" fillId="0" borderId="0" xfId="0" applyFont="1" applyProtection="1">
      <protection hidden="1"/>
    </xf>
    <xf numFmtId="49" fontId="13" fillId="0" borderId="0" xfId="0" applyNumberFormat="1" applyFont="1" applyBorder="1" applyAlignment="1" applyProtection="1">
      <alignment vertical="center"/>
      <protection hidden="1"/>
    </xf>
    <xf numFmtId="0" fontId="13" fillId="0" borderId="0" xfId="0" applyFont="1" applyAlignment="1" applyProtection="1">
      <alignment vertical="center"/>
      <protection hidden="1"/>
    </xf>
    <xf numFmtId="0" fontId="13" fillId="0" borderId="0" xfId="0" applyFont="1" applyAlignment="1" applyProtection="1">
      <alignment horizontal="right" vertical="center"/>
      <protection hidden="1"/>
    </xf>
    <xf numFmtId="0" fontId="47" fillId="0" borderId="0" xfId="0" applyFont="1" applyBorder="1" applyAlignment="1" applyProtection="1">
      <protection hidden="1"/>
    </xf>
    <xf numFmtId="0" fontId="47" fillId="0" borderId="0" xfId="0" applyFont="1" applyAlignment="1" applyProtection="1">
      <protection hidden="1"/>
    </xf>
    <xf numFmtId="0" fontId="14" fillId="0" borderId="0" xfId="0" applyFont="1" applyAlignment="1" applyProtection="1">
      <protection hidden="1"/>
    </xf>
    <xf numFmtId="49" fontId="14" fillId="0" borderId="8" xfId="0" applyNumberFormat="1" applyFont="1" applyBorder="1" applyAlignment="1" applyProtection="1">
      <alignment horizontal="center" vertical="center"/>
      <protection hidden="1"/>
    </xf>
    <xf numFmtId="49" fontId="14" fillId="0" borderId="8" xfId="0" applyNumberFormat="1" applyFont="1" applyBorder="1" applyAlignment="1" applyProtection="1">
      <alignment horizontal="center"/>
      <protection hidden="1"/>
    </xf>
    <xf numFmtId="0" fontId="14" fillId="0" borderId="8" xfId="0" applyFont="1" applyBorder="1" applyProtection="1">
      <protection hidden="1"/>
    </xf>
    <xf numFmtId="0" fontId="14" fillId="0" borderId="8" xfId="0" applyFont="1" applyBorder="1" applyAlignment="1" applyProtection="1">
      <alignment horizontal="right" vertical="top"/>
      <protection hidden="1"/>
    </xf>
    <xf numFmtId="164" fontId="14" fillId="0" borderId="9" xfId="0" applyNumberFormat="1" applyFont="1" applyBorder="1" applyAlignment="1" applyProtection="1">
      <alignment horizontal="right" vertical="center"/>
      <protection hidden="1"/>
    </xf>
    <xf numFmtId="0" fontId="14" fillId="0" borderId="9" xfId="0" applyFont="1" applyBorder="1" applyAlignment="1" applyProtection="1">
      <alignment horizontal="left"/>
      <protection hidden="1"/>
    </xf>
    <xf numFmtId="0" fontId="14" fillId="0" borderId="31" xfId="0" applyFont="1" applyBorder="1" applyProtection="1">
      <protection hidden="1"/>
    </xf>
    <xf numFmtId="20" fontId="22" fillId="5" borderId="64" xfId="0" applyNumberFormat="1" applyFont="1" applyFill="1" applyBorder="1" applyAlignment="1" applyProtection="1">
      <alignment horizontal="left" vertical="center"/>
      <protection hidden="1"/>
    </xf>
    <xf numFmtId="20" fontId="48" fillId="0" borderId="38" xfId="0" applyNumberFormat="1" applyFont="1" applyBorder="1" applyAlignment="1" applyProtection="1">
      <alignment horizontal="center"/>
      <protection hidden="1"/>
    </xf>
    <xf numFmtId="20" fontId="48" fillId="0" borderId="54" xfId="0" applyNumberFormat="1" applyFont="1" applyBorder="1" applyAlignment="1" applyProtection="1">
      <alignment horizontal="center"/>
      <protection hidden="1"/>
    </xf>
    <xf numFmtId="20" fontId="48" fillId="0" borderId="54" xfId="0" applyNumberFormat="1" applyFont="1" applyBorder="1" applyAlignment="1" applyProtection="1">
      <alignment horizontal="center"/>
      <protection locked="0"/>
    </xf>
    <xf numFmtId="20" fontId="48" fillId="0" borderId="39" xfId="0" applyNumberFormat="1" applyFont="1" applyBorder="1" applyAlignment="1" applyProtection="1">
      <alignment horizontal="center"/>
      <protection locked="0"/>
    </xf>
    <xf numFmtId="164" fontId="37" fillId="0" borderId="4" xfId="0" applyNumberFormat="1" applyFont="1" applyFill="1" applyBorder="1" applyAlignment="1" applyProtection="1">
      <alignment horizontal="right"/>
      <protection hidden="1"/>
    </xf>
    <xf numFmtId="164" fontId="18" fillId="0" borderId="5" xfId="0" applyNumberFormat="1" applyFont="1" applyFill="1" applyBorder="1" applyAlignment="1" applyProtection="1">
      <alignment horizontal="left"/>
      <protection hidden="1"/>
    </xf>
    <xf numFmtId="20" fontId="18" fillId="5" borderId="14" xfId="0" applyNumberFormat="1" applyFont="1" applyFill="1" applyBorder="1" applyAlignment="1" applyProtection="1">
      <alignment horizontal="left" vertical="center"/>
      <protection hidden="1"/>
    </xf>
    <xf numFmtId="0" fontId="18" fillId="5" borderId="14" xfId="0" applyFont="1" applyFill="1" applyBorder="1" applyAlignment="1" applyProtection="1">
      <alignment horizontal="center"/>
      <protection hidden="1"/>
    </xf>
    <xf numFmtId="0" fontId="17" fillId="0" borderId="0" xfId="0" applyFont="1" applyBorder="1" applyAlignment="1" applyProtection="1">
      <alignment vertical="center"/>
      <protection hidden="1"/>
    </xf>
    <xf numFmtId="0" fontId="18" fillId="0" borderId="30" xfId="0" applyFont="1" applyFill="1" applyBorder="1" applyAlignment="1" applyProtection="1">
      <alignment vertical="center" wrapText="1"/>
      <protection hidden="1"/>
    </xf>
    <xf numFmtId="0" fontId="18" fillId="0" borderId="10" xfId="0" applyFont="1" applyFill="1" applyBorder="1" applyAlignment="1" applyProtection="1">
      <alignment vertical="center" wrapText="1"/>
      <protection hidden="1"/>
    </xf>
    <xf numFmtId="0" fontId="13" fillId="0" borderId="0" xfId="0" applyFont="1" applyFill="1" applyAlignment="1" applyProtection="1">
      <alignment horizontal="left"/>
      <protection locked="0"/>
    </xf>
    <xf numFmtId="0" fontId="13" fillId="0" borderId="0" xfId="0" applyFont="1" applyFill="1" applyProtection="1">
      <protection hidden="1"/>
    </xf>
    <xf numFmtId="0" fontId="50" fillId="0" borderId="0" xfId="0" applyNumberFormat="1" applyFont="1" applyFill="1" applyAlignment="1" applyProtection="1">
      <alignment horizontal="left"/>
      <protection hidden="1"/>
    </xf>
    <xf numFmtId="0" fontId="50" fillId="0" borderId="0" xfId="0" applyNumberFormat="1" applyFont="1" applyFill="1" applyProtection="1">
      <protection hidden="1"/>
    </xf>
    <xf numFmtId="0" fontId="13" fillId="0" borderId="0" xfId="0" applyFont="1" applyFill="1" applyProtection="1">
      <protection locked="0"/>
    </xf>
    <xf numFmtId="0" fontId="43" fillId="0" borderId="0" xfId="0" applyFont="1" applyFill="1" applyAlignment="1" applyProtection="1">
      <alignment horizontal="left"/>
      <protection locked="0"/>
    </xf>
    <xf numFmtId="0" fontId="14" fillId="0" borderId="0" xfId="0" applyFont="1" applyFill="1" applyProtection="1">
      <protection locked="0"/>
    </xf>
    <xf numFmtId="0" fontId="33" fillId="0" borderId="0" xfId="0" applyNumberFormat="1" applyFont="1" applyFill="1" applyAlignment="1" applyProtection="1">
      <alignment horizontal="left"/>
      <protection hidden="1"/>
    </xf>
    <xf numFmtId="0" fontId="34" fillId="0" borderId="0" xfId="0" applyNumberFormat="1" applyFont="1" applyFill="1" applyProtection="1">
      <protection hidden="1"/>
    </xf>
    <xf numFmtId="20" fontId="21" fillId="0" borderId="0" xfId="0" applyNumberFormat="1" applyFont="1" applyFill="1" applyBorder="1" applyAlignment="1" applyProtection="1">
      <alignment horizontal="center"/>
      <protection locked="0"/>
    </xf>
    <xf numFmtId="0" fontId="18" fillId="0" borderId="0" xfId="0" applyFont="1" applyFill="1" applyAlignment="1" applyProtection="1">
      <alignment horizontal="left"/>
      <protection locked="0"/>
    </xf>
    <xf numFmtId="0" fontId="14" fillId="0" borderId="0" xfId="0" applyFont="1" applyFill="1" applyAlignment="1" applyProtection="1">
      <alignment horizontal="left"/>
      <protection locked="0"/>
    </xf>
    <xf numFmtId="0" fontId="14" fillId="0" borderId="0" xfId="0" applyFont="1" applyFill="1" applyProtection="1">
      <protection hidden="1"/>
    </xf>
    <xf numFmtId="0" fontId="34" fillId="0" borderId="0" xfId="0" applyNumberFormat="1" applyFont="1" applyFill="1" applyAlignment="1" applyProtection="1">
      <alignment horizontal="left"/>
      <protection locked="0"/>
    </xf>
    <xf numFmtId="0" fontId="43" fillId="0" borderId="18" xfId="0" applyFont="1" applyFill="1" applyBorder="1" applyAlignment="1" applyProtection="1">
      <alignment horizontal="left"/>
      <protection locked="0"/>
    </xf>
    <xf numFmtId="0" fontId="13" fillId="0" borderId="0" xfId="0" applyFont="1" applyFill="1" applyBorder="1" applyProtection="1">
      <protection locked="0"/>
    </xf>
    <xf numFmtId="0" fontId="9" fillId="0" borderId="0" xfId="0" applyFont="1" applyFill="1" applyProtection="1">
      <protection hidden="1"/>
    </xf>
    <xf numFmtId="14" fontId="29" fillId="0" borderId="0" xfId="1" applyNumberFormat="1" applyFont="1" applyFill="1" applyBorder="1" applyAlignment="1" applyProtection="1">
      <alignment horizontal="right"/>
      <protection hidden="1"/>
    </xf>
    <xf numFmtId="164" fontId="49" fillId="0" borderId="20" xfId="1" applyNumberFormat="1" applyFont="1" applyBorder="1" applyAlignment="1" applyProtection="1">
      <alignment horizontal="center" vertical="center"/>
      <protection hidden="1"/>
    </xf>
    <xf numFmtId="164" fontId="29" fillId="0" borderId="20" xfId="1" applyNumberFormat="1" applyFont="1" applyBorder="1" applyAlignment="1" applyProtection="1">
      <alignment horizontal="center" vertical="center"/>
      <protection hidden="1"/>
    </xf>
    <xf numFmtId="0" fontId="31" fillId="0" borderId="46" xfId="1" applyFont="1" applyBorder="1" applyAlignment="1" applyProtection="1">
      <alignment vertical="center"/>
      <protection hidden="1"/>
    </xf>
    <xf numFmtId="0" fontId="31" fillId="0" borderId="47" xfId="1" applyFont="1" applyBorder="1" applyAlignment="1" applyProtection="1">
      <alignment vertical="center" wrapText="1"/>
      <protection hidden="1"/>
    </xf>
    <xf numFmtId="164" fontId="11" fillId="0" borderId="19" xfId="1" applyNumberFormat="1" applyFont="1" applyBorder="1" applyAlignment="1" applyProtection="1">
      <alignment vertical="center" wrapText="1"/>
      <protection hidden="1"/>
    </xf>
    <xf numFmtId="0" fontId="19" fillId="0" borderId="66" xfId="1" applyFont="1" applyBorder="1" applyAlignment="1" applyProtection="1">
      <alignment vertical="center"/>
      <protection hidden="1"/>
    </xf>
    <xf numFmtId="0" fontId="31" fillId="0" borderId="46" xfId="1" applyFont="1" applyBorder="1" applyAlignment="1" applyProtection="1">
      <alignment vertical="center" wrapText="1"/>
      <protection hidden="1"/>
    </xf>
    <xf numFmtId="0" fontId="32" fillId="0" borderId="47" xfId="1" applyFont="1" applyBorder="1" applyAlignment="1" applyProtection="1">
      <alignment vertical="center"/>
      <protection hidden="1"/>
    </xf>
    <xf numFmtId="0" fontId="31" fillId="0" borderId="22" xfId="1" applyFont="1" applyBorder="1" applyAlignment="1" applyProtection="1">
      <alignment vertical="center" wrapText="1"/>
      <protection hidden="1"/>
    </xf>
    <xf numFmtId="0" fontId="31" fillId="0" borderId="1" xfId="1" applyFont="1" applyBorder="1" applyAlignment="1" applyProtection="1">
      <alignment horizontal="center" vertical="center"/>
      <protection hidden="1"/>
    </xf>
    <xf numFmtId="0" fontId="31" fillId="3" borderId="24" xfId="0" applyNumberFormat="1" applyFont="1" applyFill="1" applyBorder="1" applyAlignment="1" applyProtection="1">
      <alignment horizontal="center" vertical="center"/>
      <protection locked="0"/>
    </xf>
    <xf numFmtId="166" fontId="31" fillId="3" borderId="22" xfId="1" applyNumberFormat="1" applyFont="1" applyFill="1" applyBorder="1" applyAlignment="1" applyProtection="1">
      <alignment horizontal="center" vertical="center"/>
      <protection locked="0"/>
    </xf>
    <xf numFmtId="166" fontId="31" fillId="0" borderId="49" xfId="1" applyNumberFormat="1" applyFont="1" applyFill="1" applyBorder="1" applyAlignment="1" applyProtection="1">
      <alignment horizontal="center" vertical="center"/>
      <protection hidden="1"/>
    </xf>
    <xf numFmtId="164" fontId="31" fillId="3" borderId="2" xfId="1" applyNumberFormat="1" applyFont="1" applyFill="1" applyBorder="1" applyAlignment="1" applyProtection="1">
      <alignment horizontal="center" vertical="center"/>
      <protection locked="0"/>
    </xf>
    <xf numFmtId="164" fontId="51" fillId="3" borderId="1" xfId="1" applyNumberFormat="1" applyFont="1" applyFill="1" applyBorder="1" applyAlignment="1" applyProtection="1">
      <alignment horizontal="center" vertical="center"/>
      <protection locked="0"/>
    </xf>
    <xf numFmtId="0" fontId="31" fillId="3" borderId="1" xfId="1" applyNumberFormat="1" applyFont="1" applyFill="1" applyBorder="1" applyAlignment="1" applyProtection="1">
      <alignment horizontal="center" vertical="center"/>
      <protection locked="0"/>
    </xf>
    <xf numFmtId="0" fontId="13" fillId="0" borderId="0" xfId="0" quotePrefix="1" applyFont="1" applyFill="1" applyProtection="1">
      <protection locked="0"/>
    </xf>
    <xf numFmtId="21" fontId="5" fillId="0" borderId="0" xfId="0" applyNumberFormat="1" applyFont="1"/>
    <xf numFmtId="20" fontId="36" fillId="0" borderId="3" xfId="0" applyNumberFormat="1" applyFont="1" applyFill="1" applyBorder="1" applyAlignment="1" applyProtection="1">
      <alignment horizontal="center" vertical="center"/>
      <protection locked="0" hidden="1"/>
    </xf>
    <xf numFmtId="0" fontId="52" fillId="0" borderId="0" xfId="0" applyNumberFormat="1" applyFont="1" applyFill="1" applyProtection="1">
      <protection locked="0"/>
    </xf>
    <xf numFmtId="0" fontId="29" fillId="0" borderId="0" xfId="0" applyFont="1" applyFill="1" applyProtection="1">
      <protection locked="0"/>
    </xf>
    <xf numFmtId="164" fontId="13" fillId="0" borderId="0" xfId="0" applyNumberFormat="1" applyFont="1" applyFill="1" applyProtection="1">
      <protection locked="0"/>
    </xf>
    <xf numFmtId="20" fontId="13" fillId="0" borderId="0" xfId="0" applyNumberFormat="1" applyFont="1" applyFill="1" applyProtection="1">
      <protection locked="0"/>
    </xf>
    <xf numFmtId="164" fontId="37" fillId="3" borderId="4" xfId="0" applyNumberFormat="1" applyFont="1" applyFill="1" applyBorder="1" applyAlignment="1" applyProtection="1">
      <alignment horizontal="right"/>
      <protection hidden="1"/>
    </xf>
    <xf numFmtId="49" fontId="13" fillId="0" borderId="0" xfId="0" applyNumberFormat="1" applyFont="1" applyFill="1" applyProtection="1">
      <protection locked="0"/>
    </xf>
    <xf numFmtId="0" fontId="31" fillId="3" borderId="21" xfId="1" applyFont="1" applyFill="1" applyBorder="1" applyAlignment="1" applyProtection="1">
      <alignment horizontal="center" vertical="center"/>
      <protection locked="0"/>
    </xf>
    <xf numFmtId="0" fontId="31" fillId="3" borderId="24" xfId="1" applyFont="1" applyFill="1" applyBorder="1" applyAlignment="1" applyProtection="1">
      <alignment horizontal="center" vertical="center"/>
      <protection locked="0"/>
    </xf>
    <xf numFmtId="11" fontId="19" fillId="3" borderId="21" xfId="1" applyNumberFormat="1" applyFont="1" applyFill="1" applyBorder="1" applyAlignment="1" applyProtection="1">
      <alignment horizontal="center" vertical="center" wrapText="1"/>
      <protection hidden="1"/>
    </xf>
    <xf numFmtId="11" fontId="19" fillId="3" borderId="32" xfId="1" applyNumberFormat="1" applyFont="1" applyFill="1" applyBorder="1" applyAlignment="1" applyProtection="1">
      <alignment horizontal="center" vertical="center" wrapText="1"/>
      <protection hidden="1"/>
    </xf>
    <xf numFmtId="11" fontId="19" fillId="3" borderId="24" xfId="1" applyNumberFormat="1" applyFont="1" applyFill="1" applyBorder="1" applyAlignment="1" applyProtection="1">
      <alignment horizontal="center" vertical="center" wrapText="1"/>
      <protection hidden="1"/>
    </xf>
    <xf numFmtId="49" fontId="25" fillId="0" borderId="0" xfId="1" applyNumberFormat="1" applyFont="1" applyAlignment="1" applyProtection="1">
      <protection hidden="1"/>
    </xf>
    <xf numFmtId="49" fontId="19" fillId="0" borderId="21" xfId="1" applyNumberFormat="1" applyFont="1" applyBorder="1" applyAlignment="1" applyProtection="1">
      <alignment horizontal="center" vertical="center" wrapText="1"/>
      <protection hidden="1"/>
    </xf>
    <xf numFmtId="49" fontId="19" fillId="0" borderId="26" xfId="1" applyNumberFormat="1" applyFont="1" applyBorder="1" applyAlignment="1" applyProtection="1">
      <alignment horizontal="center" vertical="center"/>
      <protection hidden="1"/>
    </xf>
    <xf numFmtId="0" fontId="31" fillId="3" borderId="29" xfId="1" applyFont="1" applyFill="1" applyBorder="1" applyAlignment="1" applyProtection="1">
      <alignment horizontal="center" vertical="center"/>
      <protection locked="0"/>
    </xf>
    <xf numFmtId="0" fontId="31" fillId="3" borderId="24" xfId="1" applyFont="1" applyFill="1" applyBorder="1" applyAlignment="1" applyProtection="1">
      <protection locked="0"/>
    </xf>
    <xf numFmtId="49" fontId="31" fillId="3" borderId="29" xfId="1" applyNumberFormat="1" applyFont="1" applyFill="1" applyBorder="1" applyAlignment="1" applyProtection="1">
      <alignment horizontal="center" vertical="center"/>
      <protection locked="0"/>
    </xf>
    <xf numFmtId="0" fontId="19" fillId="0" borderId="21" xfId="1" applyFont="1" applyBorder="1" applyAlignment="1" applyProtection="1">
      <alignment horizontal="left" vertical="center" wrapText="1"/>
      <protection hidden="1"/>
    </xf>
    <xf numFmtId="0" fontId="31" fillId="0" borderId="32" xfId="1" applyFont="1" applyBorder="1" applyAlignment="1" applyProtection="1">
      <protection hidden="1"/>
    </xf>
    <xf numFmtId="0" fontId="19" fillId="0" borderId="65" xfId="1" applyFont="1" applyBorder="1" applyAlignment="1" applyProtection="1">
      <alignment vertical="center" wrapText="1"/>
      <protection hidden="1"/>
    </xf>
    <xf numFmtId="0" fontId="31" fillId="0" borderId="67" xfId="0" applyFont="1" applyBorder="1" applyAlignment="1" applyProtection="1">
      <alignment vertical="center"/>
      <protection hidden="1"/>
    </xf>
    <xf numFmtId="0" fontId="19" fillId="0" borderId="21" xfId="1" applyFont="1" applyBorder="1" applyAlignment="1" applyProtection="1">
      <alignment horizontal="left" vertical="center"/>
      <protection hidden="1"/>
    </xf>
    <xf numFmtId="0" fontId="19" fillId="0" borderId="26" xfId="1" applyFont="1" applyBorder="1" applyAlignment="1" applyProtection="1">
      <alignment horizontal="left" vertical="center"/>
      <protection hidden="1"/>
    </xf>
    <xf numFmtId="0" fontId="23" fillId="0" borderId="21" xfId="1" applyFont="1" applyBorder="1" applyAlignment="1" applyProtection="1">
      <alignment horizontal="center" vertical="center"/>
      <protection hidden="1"/>
    </xf>
    <xf numFmtId="0" fontId="23" fillId="0" borderId="32" xfId="1" applyFont="1" applyBorder="1" applyAlignment="1" applyProtection="1">
      <alignment horizontal="center" vertical="center"/>
      <protection hidden="1"/>
    </xf>
    <xf numFmtId="0" fontId="23" fillId="0" borderId="24" xfId="1" applyFont="1" applyBorder="1" applyAlignment="1" applyProtection="1">
      <alignment horizontal="center" vertical="center"/>
      <protection hidden="1"/>
    </xf>
    <xf numFmtId="0" fontId="34" fillId="0" borderId="21" xfId="1" applyFont="1" applyBorder="1" applyAlignment="1" applyProtection="1">
      <alignment horizontal="center" vertical="center" wrapText="1"/>
      <protection hidden="1"/>
    </xf>
    <xf numFmtId="0" fontId="34" fillId="0" borderId="32" xfId="1" applyFont="1" applyBorder="1" applyAlignment="1" applyProtection="1">
      <alignment horizontal="center" vertical="center" wrapText="1"/>
      <protection hidden="1"/>
    </xf>
    <xf numFmtId="0" fontId="34" fillId="0" borderId="24" xfId="1" applyFont="1" applyBorder="1" applyAlignment="1" applyProtection="1">
      <alignment horizontal="center" vertical="center" wrapText="1"/>
      <protection hidden="1"/>
    </xf>
    <xf numFmtId="0" fontId="14" fillId="0" borderId="41" xfId="0" applyFont="1" applyFill="1" applyBorder="1" applyAlignment="1" applyProtection="1">
      <alignment vertical="center"/>
      <protection locked="0"/>
    </xf>
    <xf numFmtId="0" fontId="14" fillId="0" borderId="42" xfId="0" applyFont="1" applyBorder="1" applyAlignment="1" applyProtection="1">
      <alignment horizontal="center" vertical="center"/>
      <protection hidden="1"/>
    </xf>
    <xf numFmtId="0" fontId="14" fillId="0" borderId="43" xfId="0" applyFont="1" applyBorder="1" applyAlignment="1" applyProtection="1">
      <alignment horizontal="center" vertical="center"/>
      <protection hidden="1"/>
    </xf>
    <xf numFmtId="0" fontId="14" fillId="0" borderId="44" xfId="0" applyFont="1" applyBorder="1" applyAlignment="1" applyProtection="1">
      <alignment horizontal="center" vertical="center"/>
      <protection hidden="1"/>
    </xf>
    <xf numFmtId="0" fontId="14" fillId="0" borderId="45" xfId="0" applyFont="1" applyBorder="1" applyAlignment="1" applyProtection="1">
      <alignment horizontal="center" vertical="center"/>
      <protection hidden="1"/>
    </xf>
    <xf numFmtId="165" fontId="17" fillId="0" borderId="42" xfId="0" applyNumberFormat="1" applyFont="1" applyBorder="1" applyAlignment="1" applyProtection="1">
      <alignment horizontal="center" vertical="center"/>
      <protection locked="0" hidden="1"/>
    </xf>
    <xf numFmtId="165" fontId="17" fillId="0" borderId="43" xfId="0" applyNumberFormat="1" applyFont="1" applyBorder="1" applyAlignment="1" applyProtection="1">
      <alignment horizontal="center"/>
      <protection locked="0" hidden="1"/>
    </xf>
    <xf numFmtId="165" fontId="17" fillId="0" borderId="44" xfId="0" applyNumberFormat="1" applyFont="1" applyBorder="1" applyAlignment="1" applyProtection="1">
      <alignment horizontal="center"/>
      <protection locked="0" hidden="1"/>
    </xf>
    <xf numFmtId="165" fontId="17" fillId="0" borderId="45" xfId="0" applyNumberFormat="1" applyFont="1" applyBorder="1" applyAlignment="1" applyProtection="1">
      <alignment horizontal="center"/>
      <protection locked="0" hidden="1"/>
    </xf>
    <xf numFmtId="164" fontId="40" fillId="0" borderId="46" xfId="0" applyNumberFormat="1" applyFont="1" applyBorder="1" applyAlignment="1" applyProtection="1">
      <alignment horizontal="right" vertical="center"/>
      <protection hidden="1"/>
    </xf>
    <xf numFmtId="0" fontId="40" fillId="0" borderId="47" xfId="0" applyFont="1" applyBorder="1" applyAlignment="1" applyProtection="1">
      <alignment horizontal="right" vertical="center"/>
      <protection hidden="1"/>
    </xf>
    <xf numFmtId="164" fontId="18" fillId="0" borderId="48" xfId="0" applyNumberFormat="1" applyFont="1" applyBorder="1" applyAlignment="1" applyProtection="1">
      <alignment horizontal="left" vertical="center"/>
      <protection hidden="1"/>
    </xf>
    <xf numFmtId="164" fontId="18" fillId="0" borderId="49" xfId="0" applyNumberFormat="1" applyFont="1" applyBorder="1" applyAlignment="1" applyProtection="1">
      <alignment horizontal="left" vertical="center"/>
      <protection hidden="1"/>
    </xf>
    <xf numFmtId="0" fontId="2" fillId="0" borderId="0" xfId="0" applyFont="1" applyBorder="1" applyAlignment="1" applyProtection="1">
      <protection hidden="1"/>
    </xf>
    <xf numFmtId="0" fontId="27" fillId="0" borderId="0" xfId="0" applyFont="1" applyBorder="1" applyAlignment="1" applyProtection="1">
      <alignment horizontal="left"/>
      <protection hidden="1"/>
    </xf>
    <xf numFmtId="0" fontId="14" fillId="0" borderId="0" xfId="0" applyFont="1" applyBorder="1" applyAlignment="1" applyProtection="1">
      <alignment horizontal="center"/>
      <protection hidden="1"/>
    </xf>
    <xf numFmtId="0" fontId="45" fillId="0" borderId="63" xfId="0" applyFont="1" applyBorder="1" applyAlignment="1" applyProtection="1">
      <alignment vertical="center" wrapText="1"/>
      <protection hidden="1"/>
    </xf>
    <xf numFmtId="0" fontId="45" fillId="0" borderId="59" xfId="0" applyFont="1" applyBorder="1" applyAlignment="1" applyProtection="1">
      <alignment vertical="center" wrapText="1"/>
      <protection hidden="1"/>
    </xf>
    <xf numFmtId="0" fontId="45" fillId="0" borderId="17" xfId="0" applyFont="1" applyBorder="1" applyAlignment="1" applyProtection="1">
      <alignment vertical="center" wrapText="1"/>
      <protection hidden="1"/>
    </xf>
    <xf numFmtId="0" fontId="45" fillId="0" borderId="60" xfId="0" applyFont="1" applyBorder="1" applyAlignment="1" applyProtection="1">
      <alignment vertical="center" wrapText="1"/>
      <protection hidden="1"/>
    </xf>
    <xf numFmtId="0" fontId="45" fillId="0" borderId="61" xfId="0" applyFont="1" applyBorder="1" applyAlignment="1" applyProtection="1">
      <alignment vertical="center" wrapText="1"/>
      <protection hidden="1"/>
    </xf>
    <xf numFmtId="0" fontId="45" fillId="0" borderId="62" xfId="0" applyFont="1" applyBorder="1" applyAlignment="1" applyProtection="1">
      <alignment vertical="center" wrapText="1"/>
      <protection hidden="1"/>
    </xf>
    <xf numFmtId="0" fontId="21" fillId="0" borderId="0" xfId="0" applyFont="1" applyBorder="1" applyAlignment="1" applyProtection="1">
      <alignment horizontal="left"/>
      <protection hidden="1"/>
    </xf>
    <xf numFmtId="164" fontId="41" fillId="0" borderId="38" xfId="0" applyNumberFormat="1" applyFont="1" applyBorder="1" applyAlignment="1" applyProtection="1">
      <alignment horizontal="center" vertical="center"/>
      <protection hidden="1"/>
    </xf>
    <xf numFmtId="164" fontId="34" fillId="0" borderId="39" xfId="0" applyNumberFormat="1" applyFont="1" applyBorder="1" applyAlignment="1" applyProtection="1">
      <alignment horizontal="center" vertical="center"/>
      <protection hidden="1"/>
    </xf>
    <xf numFmtId="164" fontId="22" fillId="0" borderId="48" xfId="0" applyNumberFormat="1" applyFont="1" applyBorder="1" applyAlignment="1" applyProtection="1">
      <alignment horizontal="center" vertical="center"/>
      <protection hidden="1"/>
    </xf>
    <xf numFmtId="164" fontId="18" fillId="0" borderId="49" xfId="0" applyNumberFormat="1" applyFont="1" applyBorder="1" applyAlignment="1" applyProtection="1">
      <alignment horizontal="center" vertical="center"/>
      <protection hidden="1"/>
    </xf>
    <xf numFmtId="164" fontId="14" fillId="0" borderId="51" xfId="0" applyNumberFormat="1" applyFont="1" applyFill="1" applyBorder="1" applyAlignment="1" applyProtection="1">
      <alignment horizontal="center" vertical="center"/>
      <protection hidden="1"/>
    </xf>
    <xf numFmtId="164" fontId="14" fillId="0" borderId="17" xfId="0" applyNumberFormat="1" applyFont="1" applyFill="1" applyBorder="1" applyAlignment="1" applyProtection="1">
      <alignment horizontal="center" vertical="center"/>
      <protection hidden="1"/>
    </xf>
    <xf numFmtId="0" fontId="27" fillId="0" borderId="40" xfId="0" applyFont="1" applyBorder="1" applyAlignment="1" applyProtection="1">
      <alignment horizontal="left"/>
      <protection hidden="1"/>
    </xf>
    <xf numFmtId="164" fontId="36" fillId="0" borderId="48" xfId="0" applyNumberFormat="1" applyFont="1" applyBorder="1" applyAlignment="1" applyProtection="1">
      <alignment horizontal="center" vertical="center"/>
      <protection hidden="1"/>
    </xf>
    <xf numFmtId="164" fontId="14" fillId="0" borderId="49" xfId="0" applyNumberFormat="1" applyFont="1" applyBorder="1" applyAlignment="1" applyProtection="1">
      <alignment horizontal="center" vertical="center"/>
      <protection hidden="1"/>
    </xf>
    <xf numFmtId="164" fontId="36" fillId="0" borderId="38" xfId="0" applyNumberFormat="1" applyFont="1" applyBorder="1" applyAlignment="1" applyProtection="1">
      <alignment horizontal="center" vertical="center"/>
      <protection hidden="1"/>
    </xf>
    <xf numFmtId="164" fontId="14" fillId="0" borderId="39" xfId="0" applyNumberFormat="1" applyFont="1" applyBorder="1" applyAlignment="1" applyProtection="1">
      <alignment horizontal="center" vertical="center"/>
      <protection hidden="1"/>
    </xf>
    <xf numFmtId="0" fontId="21" fillId="0" borderId="0" xfId="0" applyFont="1" applyBorder="1" applyAlignment="1" applyProtection="1">
      <alignment horizontal="right" vertical="top"/>
      <protection hidden="1"/>
    </xf>
    <xf numFmtId="0" fontId="46" fillId="0" borderId="0" xfId="0" applyFont="1" applyBorder="1" applyAlignment="1" applyProtection="1">
      <alignment horizontal="center" vertical="center"/>
      <protection hidden="1"/>
    </xf>
    <xf numFmtId="0" fontId="27" fillId="0" borderId="16" xfId="0" applyFont="1" applyBorder="1" applyAlignment="1" applyProtection="1">
      <alignment horizontal="center" vertical="center" wrapText="1"/>
      <protection hidden="1"/>
    </xf>
    <xf numFmtId="0" fontId="27" fillId="0" borderId="33" xfId="0" applyFont="1" applyBorder="1" applyAlignment="1" applyProtection="1">
      <alignment horizontal="center" vertical="center" wrapText="1"/>
      <protection hidden="1"/>
    </xf>
    <xf numFmtId="0" fontId="27" fillId="0" borderId="34" xfId="0" applyFont="1" applyBorder="1" applyAlignment="1" applyProtection="1">
      <alignment horizontal="center" vertical="center" wrapText="1"/>
      <protection hidden="1"/>
    </xf>
    <xf numFmtId="0" fontId="27" fillId="0" borderId="13" xfId="0" applyFont="1" applyBorder="1" applyAlignment="1" applyProtection="1">
      <alignment horizontal="center" vertical="center" wrapText="1"/>
      <protection hidden="1"/>
    </xf>
    <xf numFmtId="0" fontId="27" fillId="0" borderId="35" xfId="0" applyFont="1" applyBorder="1" applyAlignment="1" applyProtection="1">
      <alignment horizontal="center" vertical="center" wrapText="1"/>
      <protection hidden="1"/>
    </xf>
    <xf numFmtId="0" fontId="27" fillId="0" borderId="17" xfId="0" applyFont="1" applyBorder="1" applyAlignment="1" applyProtection="1">
      <alignment horizontal="center" vertical="center"/>
      <protection hidden="1"/>
    </xf>
    <xf numFmtId="0" fontId="27" fillId="0" borderId="13" xfId="0" applyFont="1" applyBorder="1" applyAlignment="1" applyProtection="1">
      <alignment horizontal="center" vertical="center"/>
      <protection hidden="1"/>
    </xf>
    <xf numFmtId="164" fontId="18" fillId="0" borderId="36" xfId="0" applyNumberFormat="1" applyFont="1" applyBorder="1" applyAlignment="1" applyProtection="1">
      <alignment horizontal="center" vertical="center" wrapText="1"/>
      <protection hidden="1"/>
    </xf>
    <xf numFmtId="164" fontId="34" fillId="0" borderId="37" xfId="0" applyNumberFormat="1" applyFont="1" applyBorder="1" applyAlignment="1" applyProtection="1">
      <alignment horizontal="center" vertical="center" wrapText="1"/>
      <protection hidden="1"/>
    </xf>
    <xf numFmtId="49" fontId="14" fillId="0" borderId="0" xfId="0" applyNumberFormat="1" applyFont="1" applyBorder="1" applyAlignment="1" applyProtection="1">
      <alignment horizontal="center"/>
      <protection hidden="1"/>
    </xf>
    <xf numFmtId="0" fontId="17" fillId="0" borderId="0" xfId="0" applyFont="1" applyBorder="1" applyAlignment="1" applyProtection="1">
      <alignment horizontal="center" vertical="center"/>
      <protection hidden="1"/>
    </xf>
    <xf numFmtId="0" fontId="14" fillId="0" borderId="0" xfId="0" applyFont="1" applyBorder="1" applyAlignment="1" applyProtection="1">
      <alignment horizontal="right"/>
      <protection hidden="1"/>
    </xf>
    <xf numFmtId="165" fontId="17" fillId="0" borderId="43" xfId="0" applyNumberFormat="1" applyFont="1" applyBorder="1" applyAlignment="1" applyProtection="1">
      <alignment horizontal="center" vertical="center"/>
      <protection locked="0" hidden="1"/>
    </xf>
    <xf numFmtId="165" fontId="17" fillId="0" borderId="44" xfId="0" applyNumberFormat="1" applyFont="1" applyBorder="1" applyAlignment="1" applyProtection="1">
      <alignment horizontal="center" vertical="center"/>
      <protection locked="0" hidden="1"/>
    </xf>
    <xf numFmtId="165" fontId="17" fillId="0" borderId="45" xfId="0" applyNumberFormat="1" applyFont="1" applyBorder="1" applyAlignment="1" applyProtection="1">
      <alignment horizontal="center" vertical="center"/>
      <protection locked="0" hidden="1"/>
    </xf>
    <xf numFmtId="164" fontId="40" fillId="0" borderId="47" xfId="0" applyNumberFormat="1" applyFont="1" applyBorder="1" applyAlignment="1" applyProtection="1">
      <alignment horizontal="right" vertical="center"/>
      <protection hidden="1"/>
    </xf>
    <xf numFmtId="0" fontId="27" fillId="0" borderId="12" xfId="0" applyFont="1" applyBorder="1" applyAlignment="1" applyProtection="1">
      <alignment horizontal="center" vertical="center" wrapText="1"/>
      <protection hidden="1"/>
    </xf>
    <xf numFmtId="0" fontId="27" fillId="0" borderId="52" xfId="0" applyFont="1" applyBorder="1" applyAlignment="1" applyProtection="1">
      <alignment horizontal="center" vertical="center" wrapText="1"/>
      <protection hidden="1"/>
    </xf>
    <xf numFmtId="0" fontId="27" fillId="0" borderId="53" xfId="0" applyFont="1" applyBorder="1" applyAlignment="1" applyProtection="1">
      <alignment horizontal="center" vertical="center" wrapText="1"/>
      <protection hidden="1"/>
    </xf>
    <xf numFmtId="0" fontId="27" fillId="0" borderId="50" xfId="0" applyFont="1" applyBorder="1" applyAlignment="1" applyProtection="1">
      <alignment horizontal="center" vertical="center" wrapText="1"/>
      <protection hidden="1"/>
    </xf>
    <xf numFmtId="0" fontId="27" fillId="0" borderId="35" xfId="0" applyFont="1" applyBorder="1" applyAlignment="1" applyProtection="1">
      <alignment horizontal="center" vertical="center"/>
      <protection hidden="1"/>
    </xf>
    <xf numFmtId="0" fontId="27" fillId="0" borderId="78" xfId="0" applyFont="1" applyBorder="1" applyAlignment="1" applyProtection="1">
      <alignment horizontal="center" vertical="center"/>
      <protection hidden="1"/>
    </xf>
    <xf numFmtId="164" fontId="18" fillId="0" borderId="57" xfId="0" applyNumberFormat="1" applyFont="1" applyBorder="1" applyAlignment="1" applyProtection="1">
      <alignment horizontal="center" vertical="center" wrapText="1"/>
      <protection hidden="1"/>
    </xf>
    <xf numFmtId="164" fontId="18" fillId="0" borderId="58" xfId="0" applyNumberFormat="1" applyFont="1" applyBorder="1" applyAlignment="1" applyProtection="1">
      <alignment horizontal="center" vertical="center" wrapText="1"/>
      <protection hidden="1"/>
    </xf>
    <xf numFmtId="164" fontId="34" fillId="0" borderId="76" xfId="0" applyNumberFormat="1" applyFont="1" applyBorder="1" applyAlignment="1" applyProtection="1">
      <alignment horizontal="center" vertical="center" wrapText="1"/>
      <protection hidden="1"/>
    </xf>
    <xf numFmtId="164" fontId="34" fillId="0" borderId="77" xfId="0" applyNumberFormat="1" applyFont="1" applyBorder="1" applyAlignment="1" applyProtection="1">
      <alignment horizontal="center" vertical="center" wrapText="1"/>
      <protection hidden="1"/>
    </xf>
    <xf numFmtId="0" fontId="27" fillId="0" borderId="71" xfId="0" applyFont="1" applyBorder="1" applyAlignment="1" applyProtection="1">
      <alignment horizontal="center" vertical="center" wrapText="1"/>
      <protection hidden="1"/>
    </xf>
    <xf numFmtId="0" fontId="27" fillId="0" borderId="72" xfId="0" applyFont="1" applyBorder="1" applyAlignment="1" applyProtection="1">
      <alignment horizontal="center" vertical="center" wrapText="1"/>
      <protection hidden="1"/>
    </xf>
    <xf numFmtId="0" fontId="27" fillId="0" borderId="73" xfId="0" applyFont="1" applyBorder="1" applyAlignment="1" applyProtection="1">
      <alignment horizontal="center" vertical="center" wrapText="1"/>
      <protection hidden="1"/>
    </xf>
    <xf numFmtId="0" fontId="27" fillId="0" borderId="19" xfId="0" applyFont="1" applyBorder="1" applyAlignment="1" applyProtection="1">
      <alignment horizontal="center" vertical="center" wrapText="1"/>
      <protection hidden="1"/>
    </xf>
    <xf numFmtId="0" fontId="27" fillId="0" borderId="74" xfId="0" applyFont="1" applyBorder="1" applyAlignment="1" applyProtection="1">
      <alignment horizontal="center" vertical="center" wrapText="1"/>
      <protection hidden="1"/>
    </xf>
    <xf numFmtId="0" fontId="27" fillId="0" borderId="75" xfId="0" applyFont="1" applyBorder="1" applyAlignment="1" applyProtection="1">
      <alignment horizontal="center" vertical="center" wrapText="1"/>
      <protection hidden="1"/>
    </xf>
    <xf numFmtId="0" fontId="27" fillId="0" borderId="69" xfId="0" applyFont="1" applyBorder="1" applyAlignment="1" applyProtection="1">
      <alignment horizontal="center" vertical="center" wrapText="1"/>
      <protection hidden="1"/>
    </xf>
    <xf numFmtId="0" fontId="27" fillId="0" borderId="18" xfId="0" applyFont="1" applyBorder="1" applyAlignment="1" applyProtection="1">
      <alignment horizontal="center" vertical="center" wrapText="1"/>
      <protection hidden="1"/>
    </xf>
    <xf numFmtId="0" fontId="27" fillId="0" borderId="70" xfId="0" applyFont="1" applyBorder="1" applyAlignment="1" applyProtection="1">
      <alignment horizontal="center" vertical="center" wrapText="1"/>
      <protection hidden="1"/>
    </xf>
    <xf numFmtId="0" fontId="45" fillId="0" borderId="46" xfId="0" applyFont="1" applyBorder="1" applyAlignment="1" applyProtection="1">
      <alignment vertical="center" wrapText="1"/>
      <protection hidden="1"/>
    </xf>
    <xf numFmtId="0" fontId="45" fillId="0" borderId="48" xfId="0" applyFont="1" applyBorder="1" applyAlignment="1" applyProtection="1">
      <alignment vertical="center" wrapText="1"/>
      <protection hidden="1"/>
    </xf>
    <xf numFmtId="0" fontId="45" fillId="0" borderId="55" xfId="0" applyFont="1" applyBorder="1" applyAlignment="1" applyProtection="1">
      <alignment vertical="center" wrapText="1"/>
      <protection hidden="1"/>
    </xf>
    <xf numFmtId="0" fontId="45" fillId="0" borderId="68" xfId="0" applyFont="1" applyBorder="1" applyAlignment="1" applyProtection="1">
      <alignment vertical="center" wrapText="1"/>
      <protection hidden="1"/>
    </xf>
    <xf numFmtId="0" fontId="45" fillId="0" borderId="47" xfId="0" applyFont="1" applyBorder="1" applyAlignment="1" applyProtection="1">
      <alignment vertical="center" wrapText="1"/>
      <protection hidden="1"/>
    </xf>
    <xf numFmtId="0" fontId="45" fillId="0" borderId="49" xfId="0" applyFont="1" applyBorder="1" applyAlignment="1" applyProtection="1">
      <alignment vertical="center" wrapText="1"/>
      <protection hidden="1"/>
    </xf>
    <xf numFmtId="164" fontId="41" fillId="0" borderId="46" xfId="0" applyNumberFormat="1" applyFont="1" applyBorder="1" applyAlignment="1" applyProtection="1">
      <alignment horizontal="center" vertical="center"/>
      <protection locked="0"/>
    </xf>
    <xf numFmtId="164" fontId="41" fillId="0" borderId="55" xfId="0" applyNumberFormat="1" applyFont="1" applyBorder="1" applyAlignment="1" applyProtection="1">
      <alignment horizontal="center" vertical="center"/>
      <protection locked="0"/>
    </xf>
    <xf numFmtId="164" fontId="41" fillId="0" borderId="31" xfId="0" applyNumberFormat="1" applyFont="1" applyBorder="1" applyAlignment="1" applyProtection="1">
      <alignment horizontal="center" vertical="center"/>
      <protection locked="0"/>
    </xf>
    <xf numFmtId="164" fontId="41" fillId="0" borderId="0" xfId="0" applyNumberFormat="1" applyFont="1" applyBorder="1" applyAlignment="1" applyProtection="1">
      <alignment horizontal="center" vertical="center"/>
      <protection locked="0"/>
    </xf>
    <xf numFmtId="164" fontId="22" fillId="0" borderId="38" xfId="0" applyNumberFormat="1" applyFont="1" applyBorder="1" applyAlignment="1" applyProtection="1">
      <alignment horizontal="center" vertical="center"/>
      <protection hidden="1"/>
    </xf>
    <xf numFmtId="164" fontId="22" fillId="0" borderId="39" xfId="0" applyNumberFormat="1" applyFont="1" applyBorder="1" applyAlignment="1" applyProtection="1">
      <alignment horizontal="center" vertical="center"/>
      <protection hidden="1"/>
    </xf>
    <xf numFmtId="0" fontId="27" fillId="0" borderId="30" xfId="0" applyFont="1" applyBorder="1" applyAlignment="1" applyProtection="1">
      <alignment horizontal="left"/>
      <protection hidden="1"/>
    </xf>
    <xf numFmtId="164" fontId="36" fillId="0" borderId="39" xfId="0" applyNumberFormat="1" applyFont="1" applyBorder="1" applyAlignment="1" applyProtection="1">
      <alignment horizontal="center" vertical="center"/>
      <protection hidden="1"/>
    </xf>
    <xf numFmtId="164" fontId="41" fillId="0" borderId="39" xfId="0" applyNumberFormat="1" applyFont="1" applyBorder="1" applyAlignment="1" applyProtection="1">
      <alignment horizontal="center" vertical="center"/>
      <protection hidden="1"/>
    </xf>
    <xf numFmtId="0" fontId="18" fillId="4" borderId="30" xfId="0" applyFont="1" applyFill="1" applyBorder="1" applyAlignment="1" applyProtection="1">
      <alignment horizontal="center" vertical="center" wrapText="1"/>
      <protection hidden="1"/>
    </xf>
    <xf numFmtId="0" fontId="18" fillId="4" borderId="0" xfId="0" applyFont="1" applyFill="1" applyBorder="1" applyAlignment="1" applyProtection="1">
      <alignment horizontal="center" vertical="center" wrapText="1"/>
      <protection hidden="1"/>
    </xf>
    <xf numFmtId="0" fontId="34" fillId="0" borderId="0" xfId="0" applyFont="1" applyFill="1" applyAlignment="1" applyProtection="1">
      <alignment horizontal="center" wrapText="1"/>
      <protection hidden="1"/>
    </xf>
    <xf numFmtId="0" fontId="34" fillId="0" borderId="30" xfId="0" applyFont="1" applyFill="1" applyBorder="1" applyAlignment="1" applyProtection="1">
      <alignment horizontal="center" vertical="center" wrapText="1"/>
      <protection hidden="1"/>
    </xf>
    <xf numFmtId="0" fontId="34" fillId="0" borderId="10" xfId="0" applyFont="1" applyFill="1" applyBorder="1" applyAlignment="1" applyProtection="1">
      <alignment horizontal="center" vertical="center" wrapText="1"/>
      <protection hidden="1"/>
    </xf>
  </cellXfs>
  <cellStyles count="2">
    <cellStyle name="Normal" xfId="0" builtinId="0"/>
    <cellStyle name="Standard 2" xfId="1" xr:uid="{00000000-0005-0000-0000-000001000000}"/>
  </cellStyles>
  <dxfs count="152">
    <dxf>
      <fill>
        <patternFill patternType="solid">
          <bgColor rgb="FF99CCFF"/>
        </patternFill>
      </fill>
    </dxf>
    <dxf>
      <font>
        <b val="0"/>
        <i val="0"/>
        <color theme="1"/>
      </font>
    </dxf>
    <dxf>
      <font>
        <b val="0"/>
        <i val="0"/>
        <color theme="1"/>
      </font>
    </dxf>
    <dxf>
      <fill>
        <patternFill>
          <bgColor rgb="FFFF0000"/>
        </patternFill>
      </fill>
    </dxf>
    <dxf>
      <font>
        <color rgb="FF99CCFF"/>
      </font>
      <fill>
        <patternFill>
          <bgColor rgb="FF99CCFF"/>
        </patternFill>
      </fill>
    </dxf>
    <dxf>
      <fill>
        <patternFill>
          <bgColor rgb="FFFF0000"/>
        </patternFill>
      </fill>
    </dxf>
    <dxf>
      <font>
        <color theme="1"/>
      </font>
      <fill>
        <patternFill patternType="none">
          <bgColor auto="1"/>
        </patternFill>
      </fill>
    </dxf>
    <dxf>
      <font>
        <color rgb="FF99CCFF"/>
      </font>
    </dxf>
    <dxf>
      <font>
        <color theme="0"/>
      </font>
    </dxf>
    <dxf>
      <fill>
        <patternFill>
          <bgColor rgb="FF99CCFF"/>
        </patternFill>
      </fill>
    </dxf>
    <dxf>
      <font>
        <b/>
        <i val="0"/>
        <color theme="1"/>
      </font>
    </dxf>
    <dxf>
      <fill>
        <patternFill patternType="solid">
          <bgColor rgb="FF99CCFF"/>
        </patternFill>
      </fill>
    </dxf>
    <dxf>
      <font>
        <b val="0"/>
        <i val="0"/>
        <color theme="1"/>
      </font>
    </dxf>
    <dxf>
      <font>
        <b val="0"/>
        <i val="0"/>
        <color theme="1"/>
      </font>
    </dxf>
    <dxf>
      <fill>
        <patternFill>
          <bgColor rgb="FFFF0000"/>
        </patternFill>
      </fill>
    </dxf>
    <dxf>
      <font>
        <color rgb="FF99CCFF"/>
      </font>
      <fill>
        <patternFill>
          <bgColor rgb="FF99CCFF"/>
        </patternFill>
      </fill>
    </dxf>
    <dxf>
      <fill>
        <patternFill>
          <bgColor rgb="FFFF0000"/>
        </patternFill>
      </fill>
    </dxf>
    <dxf>
      <font>
        <color theme="1"/>
      </font>
      <fill>
        <patternFill patternType="none">
          <bgColor auto="1"/>
        </patternFill>
      </fill>
    </dxf>
    <dxf>
      <font>
        <color rgb="FF99CCFF"/>
      </font>
    </dxf>
    <dxf>
      <font>
        <color theme="0"/>
      </font>
    </dxf>
    <dxf>
      <fill>
        <patternFill>
          <bgColor rgb="FF99CCFF"/>
        </patternFill>
      </fill>
    </dxf>
    <dxf>
      <font>
        <b/>
        <i val="0"/>
        <color theme="1"/>
      </font>
    </dxf>
    <dxf>
      <fill>
        <patternFill patternType="solid">
          <bgColor rgb="FF99CCFF"/>
        </patternFill>
      </fill>
    </dxf>
    <dxf>
      <font>
        <b val="0"/>
        <i val="0"/>
        <color theme="1"/>
      </font>
    </dxf>
    <dxf>
      <font>
        <b val="0"/>
        <i val="0"/>
        <color theme="1"/>
      </font>
    </dxf>
    <dxf>
      <fill>
        <patternFill>
          <bgColor rgb="FFFF0000"/>
        </patternFill>
      </fill>
    </dxf>
    <dxf>
      <font>
        <color rgb="FF99CCFF"/>
      </font>
      <fill>
        <patternFill>
          <bgColor rgb="FF99CCFF"/>
        </patternFill>
      </fill>
    </dxf>
    <dxf>
      <fill>
        <patternFill>
          <bgColor rgb="FFFF0000"/>
        </patternFill>
      </fill>
    </dxf>
    <dxf>
      <font>
        <color theme="1"/>
      </font>
      <fill>
        <patternFill patternType="none">
          <bgColor auto="1"/>
        </patternFill>
      </fill>
    </dxf>
    <dxf>
      <font>
        <color rgb="FF99CCFF"/>
      </font>
    </dxf>
    <dxf>
      <font>
        <color theme="0"/>
      </font>
    </dxf>
    <dxf>
      <fill>
        <patternFill>
          <bgColor rgb="FF99CCFF"/>
        </patternFill>
      </fill>
    </dxf>
    <dxf>
      <font>
        <b/>
        <i val="0"/>
        <color theme="1"/>
      </font>
    </dxf>
    <dxf>
      <fill>
        <patternFill patternType="solid">
          <bgColor rgb="FF99CCFF"/>
        </patternFill>
      </fill>
    </dxf>
    <dxf>
      <fill>
        <patternFill>
          <bgColor rgb="FFFF0000"/>
        </patternFill>
      </fill>
    </dxf>
    <dxf>
      <font>
        <b val="0"/>
        <i val="0"/>
        <color theme="1"/>
      </font>
    </dxf>
    <dxf>
      <font>
        <color rgb="FF99CCFF"/>
      </font>
      <fill>
        <patternFill>
          <bgColor rgb="FF99CCFF"/>
        </patternFill>
      </fill>
    </dxf>
    <dxf>
      <font>
        <b val="0"/>
        <i val="0"/>
        <color theme="1"/>
      </font>
    </dxf>
    <dxf>
      <fill>
        <patternFill>
          <bgColor rgb="FFFF0000"/>
        </patternFill>
      </fill>
    </dxf>
    <dxf>
      <font>
        <color theme="1"/>
      </font>
      <fill>
        <patternFill patternType="none">
          <bgColor auto="1"/>
        </patternFill>
      </fill>
    </dxf>
    <dxf>
      <font>
        <color rgb="FF99CCFF"/>
      </font>
    </dxf>
    <dxf>
      <font>
        <color theme="0"/>
      </font>
    </dxf>
    <dxf>
      <fill>
        <patternFill>
          <bgColor rgb="FF99CCFF"/>
        </patternFill>
      </fill>
    </dxf>
    <dxf>
      <font>
        <b/>
        <i val="0"/>
        <color theme="1"/>
      </font>
    </dxf>
    <dxf>
      <font>
        <b val="0"/>
        <i val="0"/>
      </font>
      <fill>
        <patternFill patternType="none">
          <bgColor auto="1"/>
        </patternFill>
      </fill>
    </dxf>
    <dxf>
      <font>
        <b val="0"/>
        <i val="0"/>
        <color theme="1"/>
      </font>
      <fill>
        <patternFill patternType="none">
          <bgColor auto="1"/>
        </patternFill>
      </fill>
    </dxf>
    <dxf>
      <font>
        <color rgb="FF99CCFF"/>
      </font>
      <fill>
        <patternFill>
          <bgColor rgb="FF99CCFF"/>
        </patternFill>
      </fill>
    </dxf>
    <dxf>
      <fill>
        <patternFill patternType="solid">
          <bgColor rgb="FF99CCFF"/>
        </patternFill>
      </fill>
    </dxf>
    <dxf>
      <fill>
        <patternFill>
          <bgColor rgb="FFFF0000"/>
        </patternFill>
      </fill>
    </dxf>
    <dxf>
      <font>
        <color rgb="FF99CCFF"/>
      </font>
    </dxf>
    <dxf>
      <font>
        <color theme="1"/>
      </font>
      <fill>
        <patternFill patternType="none">
          <bgColor auto="1"/>
        </patternFill>
      </fill>
    </dxf>
    <dxf>
      <font>
        <color theme="0"/>
      </font>
    </dxf>
    <dxf>
      <fill>
        <patternFill>
          <bgColor rgb="FF99CCFF"/>
        </patternFill>
      </fill>
    </dxf>
    <dxf>
      <fill>
        <patternFill>
          <bgColor rgb="FFFF0000"/>
        </patternFill>
      </fill>
    </dxf>
    <dxf>
      <font>
        <b/>
        <i val="0"/>
        <color theme="1"/>
      </font>
    </dxf>
    <dxf>
      <fill>
        <patternFill patternType="solid">
          <bgColor rgb="FF99CCFF"/>
        </patternFill>
      </fill>
    </dxf>
    <dxf>
      <font>
        <b val="0"/>
        <i val="0"/>
      </font>
    </dxf>
    <dxf>
      <font>
        <b val="0"/>
        <i val="0"/>
        <color theme="1"/>
      </font>
    </dxf>
    <dxf>
      <font>
        <color rgb="FF99CCFF"/>
      </font>
      <fill>
        <patternFill>
          <bgColor rgb="FF99CCFF"/>
        </patternFill>
      </fill>
    </dxf>
    <dxf>
      <fill>
        <patternFill>
          <bgColor rgb="FFFF0000"/>
        </patternFill>
      </fill>
    </dxf>
    <dxf>
      <font>
        <color rgb="FF99CCFF"/>
      </font>
    </dxf>
    <dxf>
      <font>
        <color theme="1"/>
      </font>
      <fill>
        <patternFill patternType="none">
          <bgColor auto="1"/>
        </patternFill>
      </fill>
    </dxf>
    <dxf>
      <font>
        <color theme="0"/>
      </font>
    </dxf>
    <dxf>
      <fill>
        <patternFill>
          <bgColor rgb="FF99CCFF"/>
        </patternFill>
      </fill>
    </dxf>
    <dxf>
      <fill>
        <patternFill>
          <bgColor rgb="FFFF0000"/>
        </patternFill>
      </fill>
    </dxf>
    <dxf>
      <font>
        <b/>
        <i val="0"/>
        <color theme="1"/>
      </font>
    </dxf>
    <dxf>
      <fill>
        <patternFill patternType="solid">
          <bgColor rgb="FF99CCFF"/>
        </patternFill>
      </fill>
    </dxf>
    <dxf>
      <font>
        <b val="0"/>
        <i val="0"/>
      </font>
    </dxf>
    <dxf>
      <font>
        <b val="0"/>
        <i val="0"/>
        <color theme="1"/>
      </font>
    </dxf>
    <dxf>
      <font>
        <color rgb="FF99CCFF"/>
      </font>
      <fill>
        <patternFill>
          <bgColor rgb="FF99CCFF"/>
        </patternFill>
      </fill>
    </dxf>
    <dxf>
      <fill>
        <patternFill>
          <bgColor rgb="FFFF0000"/>
        </patternFill>
      </fill>
    </dxf>
    <dxf>
      <font>
        <color rgb="FF99CCFF"/>
      </font>
    </dxf>
    <dxf>
      <font>
        <color theme="1"/>
      </font>
      <fill>
        <patternFill patternType="none">
          <bgColor auto="1"/>
        </patternFill>
      </fill>
    </dxf>
    <dxf>
      <font>
        <color theme="0"/>
      </font>
    </dxf>
    <dxf>
      <fill>
        <patternFill>
          <bgColor rgb="FF99CCFF"/>
        </patternFill>
      </fill>
    </dxf>
    <dxf>
      <fill>
        <patternFill>
          <bgColor rgb="FFFF0000"/>
        </patternFill>
      </fill>
    </dxf>
    <dxf>
      <font>
        <b/>
        <i val="0"/>
        <color theme="1"/>
      </font>
    </dxf>
    <dxf>
      <fill>
        <patternFill patternType="solid">
          <bgColor rgb="FF99CCFF"/>
        </patternFill>
      </fill>
    </dxf>
    <dxf>
      <font>
        <b val="0"/>
        <i val="0"/>
        <color theme="1"/>
      </font>
    </dxf>
    <dxf>
      <font>
        <b val="0"/>
        <i val="0"/>
      </font>
    </dxf>
    <dxf>
      <font>
        <color rgb="FF99CCFF"/>
      </font>
      <fill>
        <patternFill>
          <bgColor rgb="FF99CCFF"/>
        </patternFill>
      </fill>
    </dxf>
    <dxf>
      <fill>
        <patternFill>
          <bgColor rgb="FFFF0000"/>
        </patternFill>
      </fill>
    </dxf>
    <dxf>
      <font>
        <color rgb="FF99CCFF"/>
      </font>
    </dxf>
    <dxf>
      <font>
        <color theme="1"/>
      </font>
      <fill>
        <patternFill patternType="none">
          <bgColor auto="1"/>
        </patternFill>
      </fill>
    </dxf>
    <dxf>
      <font>
        <color theme="0"/>
      </font>
    </dxf>
    <dxf>
      <fill>
        <patternFill>
          <bgColor rgb="FF99CCFF"/>
        </patternFill>
      </fill>
    </dxf>
    <dxf>
      <fill>
        <patternFill>
          <bgColor rgb="FFFF0000"/>
        </patternFill>
      </fill>
    </dxf>
    <dxf>
      <font>
        <b/>
        <i val="0"/>
        <color theme="1"/>
      </font>
    </dxf>
    <dxf>
      <fill>
        <patternFill patternType="solid">
          <bgColor rgb="FF99CCFF"/>
        </patternFill>
      </fill>
    </dxf>
    <dxf>
      <font>
        <b val="0"/>
        <i val="0"/>
      </font>
    </dxf>
    <dxf>
      <font>
        <b val="0"/>
        <i val="0"/>
        <color theme="1"/>
      </font>
    </dxf>
    <dxf>
      <font>
        <color rgb="FF99CCFF"/>
      </font>
      <fill>
        <patternFill>
          <bgColor rgb="FF99CCFF"/>
        </patternFill>
      </fill>
    </dxf>
    <dxf>
      <fill>
        <patternFill>
          <bgColor rgb="FFFF0000"/>
        </patternFill>
      </fill>
    </dxf>
    <dxf>
      <font>
        <color rgb="FF99CCFF"/>
      </font>
    </dxf>
    <dxf>
      <font>
        <color theme="1"/>
      </font>
      <fill>
        <patternFill patternType="none">
          <bgColor auto="1"/>
        </patternFill>
      </fill>
    </dxf>
    <dxf>
      <font>
        <color theme="0"/>
      </font>
    </dxf>
    <dxf>
      <fill>
        <patternFill>
          <bgColor rgb="FF99CCFF"/>
        </patternFill>
      </fill>
    </dxf>
    <dxf>
      <fill>
        <patternFill>
          <bgColor rgb="FFFF0000"/>
        </patternFill>
      </fill>
    </dxf>
    <dxf>
      <font>
        <b/>
        <i val="0"/>
        <color theme="1"/>
      </font>
    </dxf>
    <dxf>
      <fill>
        <patternFill patternType="solid">
          <bgColor rgb="FF99CCFF"/>
        </patternFill>
      </fill>
    </dxf>
    <dxf>
      <font>
        <b val="0"/>
        <i val="0"/>
      </font>
    </dxf>
    <dxf>
      <font>
        <b val="0"/>
        <i val="0"/>
        <color theme="1"/>
      </font>
    </dxf>
    <dxf>
      <font>
        <color rgb="FF99CCFF"/>
      </font>
      <fill>
        <patternFill>
          <bgColor rgb="FF99CCFF"/>
        </patternFill>
      </fill>
    </dxf>
    <dxf>
      <fill>
        <patternFill>
          <bgColor rgb="FFFF0000"/>
        </patternFill>
      </fill>
    </dxf>
    <dxf>
      <font>
        <color rgb="FF99CCFF"/>
      </font>
    </dxf>
    <dxf>
      <font>
        <color theme="1"/>
      </font>
      <fill>
        <patternFill patternType="none">
          <bgColor auto="1"/>
        </patternFill>
      </fill>
    </dxf>
    <dxf>
      <font>
        <color theme="0"/>
      </font>
    </dxf>
    <dxf>
      <fill>
        <patternFill>
          <bgColor rgb="FF99CCFF"/>
        </patternFill>
      </fill>
    </dxf>
    <dxf>
      <fill>
        <patternFill>
          <bgColor rgb="FFFF0000"/>
        </patternFill>
      </fill>
    </dxf>
    <dxf>
      <font>
        <b/>
        <i val="0"/>
        <color theme="1"/>
      </font>
    </dxf>
    <dxf>
      <fill>
        <patternFill patternType="solid">
          <bgColor rgb="FF99CCFF"/>
        </patternFill>
      </fill>
    </dxf>
    <dxf>
      <font>
        <b val="0"/>
        <i val="0"/>
      </font>
    </dxf>
    <dxf>
      <font>
        <b val="0"/>
        <i val="0"/>
        <color theme="1"/>
      </font>
    </dxf>
    <dxf>
      <font>
        <color rgb="FF99CCFF"/>
      </font>
      <fill>
        <patternFill>
          <bgColor rgb="FF99CCFF"/>
        </patternFill>
      </fill>
    </dxf>
    <dxf>
      <fill>
        <patternFill>
          <bgColor rgb="FFFF0000"/>
        </patternFill>
      </fill>
    </dxf>
    <dxf>
      <font>
        <color theme="0"/>
      </font>
    </dxf>
    <dxf>
      <font>
        <color rgb="FF99CCFF"/>
      </font>
    </dxf>
    <dxf>
      <font>
        <color theme="1"/>
      </font>
      <fill>
        <patternFill patternType="none">
          <bgColor auto="1"/>
        </patternFill>
      </fill>
    </dxf>
    <dxf>
      <fill>
        <patternFill>
          <bgColor rgb="FF99CCFF"/>
        </patternFill>
      </fill>
    </dxf>
    <dxf>
      <fill>
        <patternFill>
          <bgColor rgb="FFFF0000"/>
        </patternFill>
      </fill>
    </dxf>
    <dxf>
      <font>
        <b/>
        <i val="0"/>
        <color theme="1"/>
      </font>
    </dxf>
    <dxf>
      <fill>
        <patternFill patternType="solid">
          <bgColor rgb="FF99CCFF"/>
        </patternFill>
      </fill>
    </dxf>
    <dxf>
      <font>
        <b val="0"/>
        <i val="0"/>
      </font>
      <fill>
        <patternFill patternType="none">
          <bgColor auto="1"/>
        </patternFill>
      </fill>
    </dxf>
    <dxf>
      <font>
        <b val="0"/>
        <i val="0"/>
        <color theme="1"/>
      </font>
      <fill>
        <patternFill patternType="none">
          <bgColor auto="1"/>
        </patternFill>
      </fill>
    </dxf>
    <dxf>
      <font>
        <color rgb="FF99CCFF"/>
      </font>
      <fill>
        <patternFill>
          <bgColor rgb="FF99CCFF"/>
        </patternFill>
      </fill>
    </dxf>
    <dxf>
      <fill>
        <patternFill>
          <bgColor rgb="FFFF0000"/>
        </patternFill>
      </fill>
    </dxf>
    <dxf>
      <font>
        <color rgb="FF99CCFF"/>
      </font>
    </dxf>
    <dxf>
      <font>
        <color theme="1"/>
      </font>
      <fill>
        <patternFill patternType="none">
          <bgColor auto="1"/>
        </patternFill>
      </fill>
    </dxf>
    <dxf>
      <font>
        <color theme="0"/>
      </font>
    </dxf>
    <dxf>
      <fill>
        <patternFill>
          <bgColor rgb="FF99CCFF"/>
        </patternFill>
      </fill>
    </dxf>
    <dxf>
      <fill>
        <patternFill>
          <bgColor rgb="FFFF0000"/>
        </patternFill>
      </fill>
    </dxf>
    <dxf>
      <font>
        <b/>
        <i val="0"/>
        <color theme="1"/>
      </font>
    </dxf>
    <dxf>
      <numFmt numFmtId="1" formatCode="0"/>
    </dxf>
    <dxf>
      <numFmt numFmtId="166" formatCode="mmmm"/>
    </dxf>
    <dxf>
      <font>
        <b/>
        <i val="0"/>
      </font>
    </dxf>
    <dxf>
      <font>
        <b/>
        <i val="0"/>
        <color theme="1"/>
      </font>
    </dxf>
    <dxf>
      <font>
        <color rgb="FF99CCFF"/>
      </font>
      <fill>
        <patternFill>
          <bgColor rgb="FF99CCFF"/>
        </patternFill>
      </fill>
    </dxf>
    <dxf>
      <fill>
        <patternFill patternType="solid">
          <bgColor rgb="FF99CCFF"/>
        </patternFill>
      </fill>
    </dxf>
    <dxf>
      <font>
        <b/>
        <i val="0"/>
      </font>
    </dxf>
    <dxf>
      <font>
        <b/>
        <i val="0"/>
        <color theme="1"/>
      </font>
    </dxf>
    <dxf>
      <font>
        <color rgb="FF99CCFF"/>
      </font>
      <fill>
        <patternFill>
          <bgColor rgb="FF99CCFF"/>
        </patternFill>
      </fill>
    </dxf>
    <dxf>
      <fill>
        <patternFill patternType="solid">
          <bgColor rgb="FF99CCFF"/>
        </patternFill>
      </fill>
    </dxf>
    <dxf>
      <fill>
        <patternFill>
          <bgColor rgb="FFFF0000"/>
        </patternFill>
      </fill>
    </dxf>
    <dxf>
      <font>
        <b/>
        <i val="0"/>
        <color theme="1"/>
      </font>
    </dxf>
    <dxf>
      <font>
        <color theme="1"/>
      </font>
      <fill>
        <patternFill patternType="none">
          <bgColor auto="1"/>
        </patternFill>
      </fill>
    </dxf>
    <dxf>
      <fill>
        <patternFill>
          <bgColor rgb="FF99CCFF"/>
        </patternFill>
      </fill>
    </dxf>
    <dxf>
      <font>
        <color rgb="FF99CCFF"/>
      </font>
    </dxf>
    <dxf>
      <font>
        <color theme="1"/>
      </font>
      <fill>
        <patternFill patternType="none">
          <bgColor auto="1"/>
        </patternFill>
      </fill>
    </dxf>
    <dxf>
      <font>
        <color theme="0"/>
      </font>
    </dxf>
    <dxf>
      <fill>
        <patternFill>
          <bgColor rgb="FF99CCFF"/>
        </patternFill>
      </fill>
    </dxf>
    <dxf>
      <fill>
        <patternFill>
          <bgColor rgb="FFFF0000"/>
        </patternFill>
      </fill>
    </dxf>
    <dxf>
      <font>
        <condense val="0"/>
        <extend val="0"/>
        <color indexed="50"/>
      </font>
    </dxf>
  </dxfs>
  <tableStyles count="0" defaultTableStyle="TableStyleMedium2" defaultPivotStyle="PivotStyleLight16"/>
  <colors>
    <mruColors>
      <color rgb="FF99CCFF"/>
      <color rgb="FF66C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30636" name="Rectangle 1">
          <a:extLst>
            <a:ext uri="{FF2B5EF4-FFF2-40B4-BE49-F238E27FC236}">
              <a16:creationId xmlns:a16="http://schemas.microsoft.com/office/drawing/2014/main" id="{00000000-0008-0000-0100-0000AC770000}"/>
            </a:ext>
          </a:extLst>
        </xdr:cNvPr>
        <xdr:cNvSpPr>
          <a:spLocks noChangeArrowheads="1"/>
        </xdr:cNvSpPr>
      </xdr:nvSpPr>
      <xdr:spPr bwMode="auto">
        <a:xfrm>
          <a:off x="0" y="9906000"/>
          <a:ext cx="228600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0637" name="Line 2">
          <a:extLst>
            <a:ext uri="{FF2B5EF4-FFF2-40B4-BE49-F238E27FC236}">
              <a16:creationId xmlns:a16="http://schemas.microsoft.com/office/drawing/2014/main" id="{00000000-0008-0000-0100-0000AD770000}"/>
            </a:ext>
          </a:extLst>
        </xdr:cNvPr>
        <xdr:cNvSpPr>
          <a:spLocks noChangeShapeType="1"/>
        </xdr:cNvSpPr>
      </xdr:nvSpPr>
      <xdr:spPr bwMode="auto">
        <a:xfrm>
          <a:off x="0" y="10599420"/>
          <a:ext cx="228600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58</xdr:row>
      <xdr:rowOff>15240</xdr:rowOff>
    </xdr:to>
    <xdr:sp macro="" textlink="">
      <xdr:nvSpPr>
        <xdr:cNvPr id="30638" name="Rectangle 3">
          <a:extLst>
            <a:ext uri="{FF2B5EF4-FFF2-40B4-BE49-F238E27FC236}">
              <a16:creationId xmlns:a16="http://schemas.microsoft.com/office/drawing/2014/main" id="{00000000-0008-0000-0100-0000AE770000}"/>
            </a:ext>
          </a:extLst>
        </xdr:cNvPr>
        <xdr:cNvSpPr>
          <a:spLocks noChangeArrowheads="1"/>
        </xdr:cNvSpPr>
      </xdr:nvSpPr>
      <xdr:spPr bwMode="auto">
        <a:xfrm>
          <a:off x="0" y="9906000"/>
          <a:ext cx="2286000" cy="143256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0639" name="Line 4">
          <a:extLst>
            <a:ext uri="{FF2B5EF4-FFF2-40B4-BE49-F238E27FC236}">
              <a16:creationId xmlns:a16="http://schemas.microsoft.com/office/drawing/2014/main" id="{00000000-0008-0000-0100-0000AF770000}"/>
            </a:ext>
          </a:extLst>
        </xdr:cNvPr>
        <xdr:cNvSpPr>
          <a:spLocks noChangeShapeType="1"/>
        </xdr:cNvSpPr>
      </xdr:nvSpPr>
      <xdr:spPr bwMode="auto">
        <a:xfrm>
          <a:off x="0" y="10599420"/>
          <a:ext cx="228600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0</xdr:colOff>
      <xdr:row>0</xdr:row>
      <xdr:rowOff>0</xdr:rowOff>
    </xdr:from>
    <xdr:to>
      <xdr:col>11</xdr:col>
      <xdr:colOff>619313</xdr:colOff>
      <xdr:row>5</xdr:row>
      <xdr:rowOff>22413</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08650" y="0"/>
          <a:ext cx="822513" cy="82251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36780" name="Rectangle 1">
          <a:extLst>
            <a:ext uri="{FF2B5EF4-FFF2-40B4-BE49-F238E27FC236}">
              <a16:creationId xmlns:a16="http://schemas.microsoft.com/office/drawing/2014/main" id="{00000000-0008-0000-0A00-0000AC8F0000}"/>
            </a:ext>
          </a:extLst>
        </xdr:cNvPr>
        <xdr:cNvSpPr>
          <a:spLocks noChangeArrowheads="1"/>
        </xdr:cNvSpPr>
      </xdr:nvSpPr>
      <xdr:spPr bwMode="auto">
        <a:xfrm>
          <a:off x="0" y="899922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6781" name="Line 2">
          <a:extLst>
            <a:ext uri="{FF2B5EF4-FFF2-40B4-BE49-F238E27FC236}">
              <a16:creationId xmlns:a16="http://schemas.microsoft.com/office/drawing/2014/main" id="{00000000-0008-0000-0A00-0000AD8F0000}"/>
            </a:ext>
          </a:extLst>
        </xdr:cNvPr>
        <xdr:cNvSpPr>
          <a:spLocks noChangeShapeType="1"/>
        </xdr:cNvSpPr>
      </xdr:nvSpPr>
      <xdr:spPr bwMode="auto">
        <a:xfrm>
          <a:off x="0" y="969264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36782" name="Rectangle 3">
          <a:extLst>
            <a:ext uri="{FF2B5EF4-FFF2-40B4-BE49-F238E27FC236}">
              <a16:creationId xmlns:a16="http://schemas.microsoft.com/office/drawing/2014/main" id="{00000000-0008-0000-0A00-0000AE8F0000}"/>
            </a:ext>
          </a:extLst>
        </xdr:cNvPr>
        <xdr:cNvSpPr>
          <a:spLocks noChangeArrowheads="1"/>
        </xdr:cNvSpPr>
      </xdr:nvSpPr>
      <xdr:spPr bwMode="auto">
        <a:xfrm>
          <a:off x="0" y="899922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6783" name="Line 4">
          <a:extLst>
            <a:ext uri="{FF2B5EF4-FFF2-40B4-BE49-F238E27FC236}">
              <a16:creationId xmlns:a16="http://schemas.microsoft.com/office/drawing/2014/main" id="{00000000-0008-0000-0A00-0000AF8F0000}"/>
            </a:ext>
          </a:extLst>
        </xdr:cNvPr>
        <xdr:cNvSpPr>
          <a:spLocks noChangeShapeType="1"/>
        </xdr:cNvSpPr>
      </xdr:nvSpPr>
      <xdr:spPr bwMode="auto">
        <a:xfrm>
          <a:off x="0" y="969264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11</xdr:col>
      <xdr:colOff>619314</xdr:colOff>
      <xdr:row>5</xdr:row>
      <xdr:rowOff>28764</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21351" y="1"/>
          <a:ext cx="822513" cy="82251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49</xdr:row>
      <xdr:rowOff>0</xdr:rowOff>
    </xdr:from>
    <xdr:to>
      <xdr:col>4</xdr:col>
      <xdr:colOff>0</xdr:colOff>
      <xdr:row>57</xdr:row>
      <xdr:rowOff>0</xdr:rowOff>
    </xdr:to>
    <xdr:sp macro="" textlink="">
      <xdr:nvSpPr>
        <xdr:cNvPr id="37808" name="Rectangle 1">
          <a:extLst>
            <a:ext uri="{FF2B5EF4-FFF2-40B4-BE49-F238E27FC236}">
              <a16:creationId xmlns:a16="http://schemas.microsoft.com/office/drawing/2014/main" id="{00000000-0008-0000-0B00-0000B093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7809" name="Line 2">
          <a:extLst>
            <a:ext uri="{FF2B5EF4-FFF2-40B4-BE49-F238E27FC236}">
              <a16:creationId xmlns:a16="http://schemas.microsoft.com/office/drawing/2014/main" id="{00000000-0008-0000-0B00-0000B193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49</xdr:row>
      <xdr:rowOff>0</xdr:rowOff>
    </xdr:from>
    <xdr:to>
      <xdr:col>4</xdr:col>
      <xdr:colOff>0</xdr:colOff>
      <xdr:row>56</xdr:row>
      <xdr:rowOff>167640</xdr:rowOff>
    </xdr:to>
    <xdr:sp macro="" textlink="">
      <xdr:nvSpPr>
        <xdr:cNvPr id="37810" name="Rectangle 3">
          <a:extLst>
            <a:ext uri="{FF2B5EF4-FFF2-40B4-BE49-F238E27FC236}">
              <a16:creationId xmlns:a16="http://schemas.microsoft.com/office/drawing/2014/main" id="{00000000-0008-0000-0B00-0000B293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7811" name="Line 4">
          <a:extLst>
            <a:ext uri="{FF2B5EF4-FFF2-40B4-BE49-F238E27FC236}">
              <a16:creationId xmlns:a16="http://schemas.microsoft.com/office/drawing/2014/main" id="{00000000-0008-0000-0B00-0000B393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11</xdr:col>
      <xdr:colOff>619314</xdr:colOff>
      <xdr:row>5</xdr:row>
      <xdr:rowOff>22414</xdr:rowOff>
    </xdr:to>
    <xdr:pic>
      <xdr:nvPicPr>
        <xdr:cNvPr id="2" name="Grafik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27701" y="1"/>
          <a:ext cx="822513" cy="82251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41897" name="Rectangle 1">
          <a:extLst>
            <a:ext uri="{FF2B5EF4-FFF2-40B4-BE49-F238E27FC236}">
              <a16:creationId xmlns:a16="http://schemas.microsoft.com/office/drawing/2014/main" id="{00000000-0008-0000-0C00-0000A9A3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41898" name="Line 2">
          <a:extLst>
            <a:ext uri="{FF2B5EF4-FFF2-40B4-BE49-F238E27FC236}">
              <a16:creationId xmlns:a16="http://schemas.microsoft.com/office/drawing/2014/main" id="{00000000-0008-0000-0C00-0000AAA3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41899" name="Rectangle 3">
          <a:extLst>
            <a:ext uri="{FF2B5EF4-FFF2-40B4-BE49-F238E27FC236}">
              <a16:creationId xmlns:a16="http://schemas.microsoft.com/office/drawing/2014/main" id="{00000000-0008-0000-0C00-0000ABA3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41900" name="Line 4">
          <a:extLst>
            <a:ext uri="{FF2B5EF4-FFF2-40B4-BE49-F238E27FC236}">
              <a16:creationId xmlns:a16="http://schemas.microsoft.com/office/drawing/2014/main" id="{00000000-0008-0000-0C00-0000ACA3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11</xdr:col>
      <xdr:colOff>619314</xdr:colOff>
      <xdr:row>5</xdr:row>
      <xdr:rowOff>28764</xdr:rowOff>
    </xdr:to>
    <xdr:pic>
      <xdr:nvPicPr>
        <xdr:cNvPr id="2" name="Grafik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21351" y="1"/>
          <a:ext cx="822513" cy="8225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47</xdr:row>
      <xdr:rowOff>0</xdr:rowOff>
    </xdr:from>
    <xdr:to>
      <xdr:col>4</xdr:col>
      <xdr:colOff>0</xdr:colOff>
      <xdr:row>55</xdr:row>
      <xdr:rowOff>0</xdr:rowOff>
    </xdr:to>
    <xdr:sp macro="" textlink="">
      <xdr:nvSpPr>
        <xdr:cNvPr id="29612" name="Rectangle 1">
          <a:extLst>
            <a:ext uri="{FF2B5EF4-FFF2-40B4-BE49-F238E27FC236}">
              <a16:creationId xmlns:a16="http://schemas.microsoft.com/office/drawing/2014/main" id="{00000000-0008-0000-0200-0000AC730000}"/>
            </a:ext>
          </a:extLst>
        </xdr:cNvPr>
        <xdr:cNvSpPr>
          <a:spLocks noChangeArrowheads="1"/>
        </xdr:cNvSpPr>
      </xdr:nvSpPr>
      <xdr:spPr bwMode="auto">
        <a:xfrm>
          <a:off x="0" y="9898380"/>
          <a:ext cx="230124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51</xdr:row>
      <xdr:rowOff>7620</xdr:rowOff>
    </xdr:from>
    <xdr:to>
      <xdr:col>4</xdr:col>
      <xdr:colOff>0</xdr:colOff>
      <xdr:row>51</xdr:row>
      <xdr:rowOff>7620</xdr:rowOff>
    </xdr:to>
    <xdr:sp macro="" textlink="">
      <xdr:nvSpPr>
        <xdr:cNvPr id="29613" name="Line 2">
          <a:extLst>
            <a:ext uri="{FF2B5EF4-FFF2-40B4-BE49-F238E27FC236}">
              <a16:creationId xmlns:a16="http://schemas.microsoft.com/office/drawing/2014/main" id="{00000000-0008-0000-0200-0000AD730000}"/>
            </a:ext>
          </a:extLst>
        </xdr:cNvPr>
        <xdr:cNvSpPr>
          <a:spLocks noChangeShapeType="1"/>
        </xdr:cNvSpPr>
      </xdr:nvSpPr>
      <xdr:spPr bwMode="auto">
        <a:xfrm>
          <a:off x="0" y="10591800"/>
          <a:ext cx="230124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47</xdr:row>
      <xdr:rowOff>0</xdr:rowOff>
    </xdr:from>
    <xdr:to>
      <xdr:col>4</xdr:col>
      <xdr:colOff>0</xdr:colOff>
      <xdr:row>54</xdr:row>
      <xdr:rowOff>167640</xdr:rowOff>
    </xdr:to>
    <xdr:sp macro="" textlink="">
      <xdr:nvSpPr>
        <xdr:cNvPr id="29614" name="Rectangle 3">
          <a:extLst>
            <a:ext uri="{FF2B5EF4-FFF2-40B4-BE49-F238E27FC236}">
              <a16:creationId xmlns:a16="http://schemas.microsoft.com/office/drawing/2014/main" id="{00000000-0008-0000-0200-0000AE730000}"/>
            </a:ext>
          </a:extLst>
        </xdr:cNvPr>
        <xdr:cNvSpPr>
          <a:spLocks noChangeArrowheads="1"/>
        </xdr:cNvSpPr>
      </xdr:nvSpPr>
      <xdr:spPr bwMode="auto">
        <a:xfrm>
          <a:off x="0" y="9898380"/>
          <a:ext cx="230124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51</xdr:row>
      <xdr:rowOff>7620</xdr:rowOff>
    </xdr:from>
    <xdr:to>
      <xdr:col>4</xdr:col>
      <xdr:colOff>0</xdr:colOff>
      <xdr:row>51</xdr:row>
      <xdr:rowOff>7620</xdr:rowOff>
    </xdr:to>
    <xdr:sp macro="" textlink="">
      <xdr:nvSpPr>
        <xdr:cNvPr id="29615" name="Line 4">
          <a:extLst>
            <a:ext uri="{FF2B5EF4-FFF2-40B4-BE49-F238E27FC236}">
              <a16:creationId xmlns:a16="http://schemas.microsoft.com/office/drawing/2014/main" id="{00000000-0008-0000-0200-0000AF730000}"/>
            </a:ext>
          </a:extLst>
        </xdr:cNvPr>
        <xdr:cNvSpPr>
          <a:spLocks noChangeShapeType="1"/>
        </xdr:cNvSpPr>
      </xdr:nvSpPr>
      <xdr:spPr bwMode="auto">
        <a:xfrm>
          <a:off x="0" y="10591800"/>
          <a:ext cx="230124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9</xdr:col>
      <xdr:colOff>717551</xdr:colOff>
      <xdr:row>0</xdr:row>
      <xdr:rowOff>0</xdr:rowOff>
    </xdr:from>
    <xdr:to>
      <xdr:col>11</xdr:col>
      <xdr:colOff>612964</xdr:colOff>
      <xdr:row>5</xdr:row>
      <xdr:rowOff>22413</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1" y="0"/>
          <a:ext cx="822513" cy="8225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28582" name="Rectangle 1">
          <a:extLst>
            <a:ext uri="{FF2B5EF4-FFF2-40B4-BE49-F238E27FC236}">
              <a16:creationId xmlns:a16="http://schemas.microsoft.com/office/drawing/2014/main" id="{00000000-0008-0000-0300-0000A66F0000}"/>
            </a:ext>
          </a:extLst>
        </xdr:cNvPr>
        <xdr:cNvSpPr>
          <a:spLocks noChangeArrowheads="1"/>
        </xdr:cNvSpPr>
      </xdr:nvSpPr>
      <xdr:spPr bwMode="auto">
        <a:xfrm>
          <a:off x="0" y="9906000"/>
          <a:ext cx="228600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28583" name="Line 2">
          <a:extLst>
            <a:ext uri="{FF2B5EF4-FFF2-40B4-BE49-F238E27FC236}">
              <a16:creationId xmlns:a16="http://schemas.microsoft.com/office/drawing/2014/main" id="{00000000-0008-0000-0300-0000A76F0000}"/>
            </a:ext>
          </a:extLst>
        </xdr:cNvPr>
        <xdr:cNvSpPr>
          <a:spLocks noChangeShapeType="1"/>
        </xdr:cNvSpPr>
      </xdr:nvSpPr>
      <xdr:spPr bwMode="auto">
        <a:xfrm>
          <a:off x="0" y="10599420"/>
          <a:ext cx="228600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28584" name="Rectangle 3">
          <a:extLst>
            <a:ext uri="{FF2B5EF4-FFF2-40B4-BE49-F238E27FC236}">
              <a16:creationId xmlns:a16="http://schemas.microsoft.com/office/drawing/2014/main" id="{00000000-0008-0000-0300-0000A86F0000}"/>
            </a:ext>
          </a:extLst>
        </xdr:cNvPr>
        <xdr:cNvSpPr>
          <a:spLocks noChangeArrowheads="1"/>
        </xdr:cNvSpPr>
      </xdr:nvSpPr>
      <xdr:spPr bwMode="auto">
        <a:xfrm>
          <a:off x="0" y="9906000"/>
          <a:ext cx="228600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28585" name="Line 4">
          <a:extLst>
            <a:ext uri="{FF2B5EF4-FFF2-40B4-BE49-F238E27FC236}">
              <a16:creationId xmlns:a16="http://schemas.microsoft.com/office/drawing/2014/main" id="{00000000-0008-0000-0300-0000A96F0000}"/>
            </a:ext>
          </a:extLst>
        </xdr:cNvPr>
        <xdr:cNvSpPr>
          <a:spLocks noChangeShapeType="1"/>
        </xdr:cNvSpPr>
      </xdr:nvSpPr>
      <xdr:spPr bwMode="auto">
        <a:xfrm>
          <a:off x="0" y="10599420"/>
          <a:ext cx="228600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9</xdr:col>
      <xdr:colOff>717551</xdr:colOff>
      <xdr:row>0</xdr:row>
      <xdr:rowOff>0</xdr:rowOff>
    </xdr:from>
    <xdr:to>
      <xdr:col>11</xdr:col>
      <xdr:colOff>612964</xdr:colOff>
      <xdr:row>5</xdr:row>
      <xdr:rowOff>22413</xdr:rowOff>
    </xdr:to>
    <xdr:pic>
      <xdr:nvPicPr>
        <xdr:cNvPr id="2" name="Grafik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83251" y="0"/>
          <a:ext cx="822513" cy="8225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49</xdr:row>
      <xdr:rowOff>0</xdr:rowOff>
    </xdr:from>
    <xdr:to>
      <xdr:col>4</xdr:col>
      <xdr:colOff>0</xdr:colOff>
      <xdr:row>57</xdr:row>
      <xdr:rowOff>0</xdr:rowOff>
    </xdr:to>
    <xdr:sp macro="" textlink="">
      <xdr:nvSpPr>
        <xdr:cNvPr id="31654" name="Rectangle 1">
          <a:extLst>
            <a:ext uri="{FF2B5EF4-FFF2-40B4-BE49-F238E27FC236}">
              <a16:creationId xmlns:a16="http://schemas.microsoft.com/office/drawing/2014/main" id="{00000000-0008-0000-0400-0000A67B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1655" name="Line 2">
          <a:extLst>
            <a:ext uri="{FF2B5EF4-FFF2-40B4-BE49-F238E27FC236}">
              <a16:creationId xmlns:a16="http://schemas.microsoft.com/office/drawing/2014/main" id="{00000000-0008-0000-0400-0000A77B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49</xdr:row>
      <xdr:rowOff>0</xdr:rowOff>
    </xdr:from>
    <xdr:to>
      <xdr:col>4</xdr:col>
      <xdr:colOff>0</xdr:colOff>
      <xdr:row>56</xdr:row>
      <xdr:rowOff>167640</xdr:rowOff>
    </xdr:to>
    <xdr:sp macro="" textlink="">
      <xdr:nvSpPr>
        <xdr:cNvPr id="31656" name="Rectangle 3">
          <a:extLst>
            <a:ext uri="{FF2B5EF4-FFF2-40B4-BE49-F238E27FC236}">
              <a16:creationId xmlns:a16="http://schemas.microsoft.com/office/drawing/2014/main" id="{00000000-0008-0000-0400-0000A87B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1657" name="Line 4">
          <a:extLst>
            <a:ext uri="{FF2B5EF4-FFF2-40B4-BE49-F238E27FC236}">
              <a16:creationId xmlns:a16="http://schemas.microsoft.com/office/drawing/2014/main" id="{00000000-0008-0000-0400-0000A97B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11</xdr:col>
      <xdr:colOff>619314</xdr:colOff>
      <xdr:row>5</xdr:row>
      <xdr:rowOff>22414</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34051" y="1"/>
          <a:ext cx="822513" cy="8225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32685" name="Rectangle 1">
          <a:extLst>
            <a:ext uri="{FF2B5EF4-FFF2-40B4-BE49-F238E27FC236}">
              <a16:creationId xmlns:a16="http://schemas.microsoft.com/office/drawing/2014/main" id="{00000000-0008-0000-0500-0000AD7F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2686" name="Line 2">
          <a:extLst>
            <a:ext uri="{FF2B5EF4-FFF2-40B4-BE49-F238E27FC236}">
              <a16:creationId xmlns:a16="http://schemas.microsoft.com/office/drawing/2014/main" id="{00000000-0008-0000-0500-0000AE7F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32687" name="Rectangle 3">
          <a:extLst>
            <a:ext uri="{FF2B5EF4-FFF2-40B4-BE49-F238E27FC236}">
              <a16:creationId xmlns:a16="http://schemas.microsoft.com/office/drawing/2014/main" id="{00000000-0008-0000-0500-0000AF7F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2688" name="Line 4">
          <a:extLst>
            <a:ext uri="{FF2B5EF4-FFF2-40B4-BE49-F238E27FC236}">
              <a16:creationId xmlns:a16="http://schemas.microsoft.com/office/drawing/2014/main" id="{00000000-0008-0000-0500-0000B07F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11</xdr:col>
      <xdr:colOff>619314</xdr:colOff>
      <xdr:row>5</xdr:row>
      <xdr:rowOff>28764</xdr:rowOff>
    </xdr:to>
    <xdr:pic>
      <xdr:nvPicPr>
        <xdr:cNvPr id="2" name="Grafik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40401" y="1"/>
          <a:ext cx="822513" cy="8225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49</xdr:row>
      <xdr:rowOff>0</xdr:rowOff>
    </xdr:from>
    <xdr:to>
      <xdr:col>4</xdr:col>
      <xdr:colOff>0</xdr:colOff>
      <xdr:row>57</xdr:row>
      <xdr:rowOff>0</xdr:rowOff>
    </xdr:to>
    <xdr:sp macro="" textlink="">
      <xdr:nvSpPr>
        <xdr:cNvPr id="33719" name="Rectangle 1">
          <a:extLst>
            <a:ext uri="{FF2B5EF4-FFF2-40B4-BE49-F238E27FC236}">
              <a16:creationId xmlns:a16="http://schemas.microsoft.com/office/drawing/2014/main" id="{00000000-0008-0000-0600-0000B783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3720" name="Line 2">
          <a:extLst>
            <a:ext uri="{FF2B5EF4-FFF2-40B4-BE49-F238E27FC236}">
              <a16:creationId xmlns:a16="http://schemas.microsoft.com/office/drawing/2014/main" id="{00000000-0008-0000-0600-0000B883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49</xdr:row>
      <xdr:rowOff>0</xdr:rowOff>
    </xdr:from>
    <xdr:to>
      <xdr:col>4</xdr:col>
      <xdr:colOff>0</xdr:colOff>
      <xdr:row>56</xdr:row>
      <xdr:rowOff>167640</xdr:rowOff>
    </xdr:to>
    <xdr:sp macro="" textlink="">
      <xdr:nvSpPr>
        <xdr:cNvPr id="33721" name="Rectangle 3">
          <a:extLst>
            <a:ext uri="{FF2B5EF4-FFF2-40B4-BE49-F238E27FC236}">
              <a16:creationId xmlns:a16="http://schemas.microsoft.com/office/drawing/2014/main" id="{00000000-0008-0000-0600-0000B983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3722" name="Line 4">
          <a:extLst>
            <a:ext uri="{FF2B5EF4-FFF2-40B4-BE49-F238E27FC236}">
              <a16:creationId xmlns:a16="http://schemas.microsoft.com/office/drawing/2014/main" id="{00000000-0008-0000-0600-0000BA83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11</xdr:col>
      <xdr:colOff>619314</xdr:colOff>
      <xdr:row>5</xdr:row>
      <xdr:rowOff>85914</xdr:rowOff>
    </xdr:to>
    <xdr:pic>
      <xdr:nvPicPr>
        <xdr:cNvPr id="2" name="Grafik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1" y="1"/>
          <a:ext cx="822513" cy="82251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40870" name="Rectangle 1">
          <a:extLst>
            <a:ext uri="{FF2B5EF4-FFF2-40B4-BE49-F238E27FC236}">
              <a16:creationId xmlns:a16="http://schemas.microsoft.com/office/drawing/2014/main" id="{00000000-0008-0000-0700-0000A69F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40871" name="Line 2">
          <a:extLst>
            <a:ext uri="{FF2B5EF4-FFF2-40B4-BE49-F238E27FC236}">
              <a16:creationId xmlns:a16="http://schemas.microsoft.com/office/drawing/2014/main" id="{00000000-0008-0000-0700-0000A79F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40872" name="Rectangle 3">
          <a:extLst>
            <a:ext uri="{FF2B5EF4-FFF2-40B4-BE49-F238E27FC236}">
              <a16:creationId xmlns:a16="http://schemas.microsoft.com/office/drawing/2014/main" id="{00000000-0008-0000-0700-0000A89F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40873" name="Line 4">
          <a:extLst>
            <a:ext uri="{FF2B5EF4-FFF2-40B4-BE49-F238E27FC236}">
              <a16:creationId xmlns:a16="http://schemas.microsoft.com/office/drawing/2014/main" id="{00000000-0008-0000-0700-0000A99F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11</xdr:col>
      <xdr:colOff>619314</xdr:colOff>
      <xdr:row>5</xdr:row>
      <xdr:rowOff>28764</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34051" y="1"/>
          <a:ext cx="822513" cy="8225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50</xdr:row>
      <xdr:rowOff>0</xdr:rowOff>
    </xdr:from>
    <xdr:to>
      <xdr:col>4</xdr:col>
      <xdr:colOff>0</xdr:colOff>
      <xdr:row>58</xdr:row>
      <xdr:rowOff>0</xdr:rowOff>
    </xdr:to>
    <xdr:sp macro="" textlink="">
      <xdr:nvSpPr>
        <xdr:cNvPr id="35750" name="Rectangle 1">
          <a:extLst>
            <a:ext uri="{FF2B5EF4-FFF2-40B4-BE49-F238E27FC236}">
              <a16:creationId xmlns:a16="http://schemas.microsoft.com/office/drawing/2014/main" id="{00000000-0008-0000-0800-0000A68B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5751" name="Line 2">
          <a:extLst>
            <a:ext uri="{FF2B5EF4-FFF2-40B4-BE49-F238E27FC236}">
              <a16:creationId xmlns:a16="http://schemas.microsoft.com/office/drawing/2014/main" id="{00000000-0008-0000-0800-0000A78B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4</xdr:col>
      <xdr:colOff>0</xdr:colOff>
      <xdr:row>57</xdr:row>
      <xdr:rowOff>167640</xdr:rowOff>
    </xdr:to>
    <xdr:sp macro="" textlink="">
      <xdr:nvSpPr>
        <xdr:cNvPr id="35752" name="Rectangle 3">
          <a:extLst>
            <a:ext uri="{FF2B5EF4-FFF2-40B4-BE49-F238E27FC236}">
              <a16:creationId xmlns:a16="http://schemas.microsoft.com/office/drawing/2014/main" id="{00000000-0008-0000-0800-0000A88B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54</xdr:row>
      <xdr:rowOff>7620</xdr:rowOff>
    </xdr:from>
    <xdr:to>
      <xdr:col>4</xdr:col>
      <xdr:colOff>0</xdr:colOff>
      <xdr:row>54</xdr:row>
      <xdr:rowOff>7620</xdr:rowOff>
    </xdr:to>
    <xdr:sp macro="" textlink="">
      <xdr:nvSpPr>
        <xdr:cNvPr id="35753" name="Line 4">
          <a:extLst>
            <a:ext uri="{FF2B5EF4-FFF2-40B4-BE49-F238E27FC236}">
              <a16:creationId xmlns:a16="http://schemas.microsoft.com/office/drawing/2014/main" id="{00000000-0008-0000-0800-0000A98B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11</xdr:col>
      <xdr:colOff>619314</xdr:colOff>
      <xdr:row>5</xdr:row>
      <xdr:rowOff>28764</xdr:rowOff>
    </xdr:to>
    <xdr:pic>
      <xdr:nvPicPr>
        <xdr:cNvPr id="2" name="Grafik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27701" y="1"/>
          <a:ext cx="822513" cy="82251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49</xdr:row>
      <xdr:rowOff>0</xdr:rowOff>
    </xdr:from>
    <xdr:to>
      <xdr:col>4</xdr:col>
      <xdr:colOff>0</xdr:colOff>
      <xdr:row>57</xdr:row>
      <xdr:rowOff>0</xdr:rowOff>
    </xdr:to>
    <xdr:sp macro="" textlink="">
      <xdr:nvSpPr>
        <xdr:cNvPr id="38822" name="Rectangle 1">
          <a:extLst>
            <a:ext uri="{FF2B5EF4-FFF2-40B4-BE49-F238E27FC236}">
              <a16:creationId xmlns:a16="http://schemas.microsoft.com/office/drawing/2014/main" id="{00000000-0008-0000-0900-0000A6970000}"/>
            </a:ext>
          </a:extLst>
        </xdr:cNvPr>
        <xdr:cNvSpPr>
          <a:spLocks noChangeArrowheads="1"/>
        </xdr:cNvSpPr>
      </xdr:nvSpPr>
      <xdr:spPr bwMode="auto">
        <a:xfrm>
          <a:off x="0" y="9906000"/>
          <a:ext cx="2293620" cy="13716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alpha val="50195"/>
                </a:srgbClr>
              </a:solidFill>
            </a14:hiddenFill>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8823" name="Line 2">
          <a:extLst>
            <a:ext uri="{FF2B5EF4-FFF2-40B4-BE49-F238E27FC236}">
              <a16:creationId xmlns:a16="http://schemas.microsoft.com/office/drawing/2014/main" id="{00000000-0008-0000-0900-0000A7970000}"/>
            </a:ext>
          </a:extLst>
        </xdr:cNvPr>
        <xdr:cNvSpPr>
          <a:spLocks noChangeShapeType="1"/>
        </xdr:cNvSpPr>
      </xdr:nvSpPr>
      <xdr:spPr bwMode="auto">
        <a:xfrm>
          <a:off x="0" y="10599420"/>
          <a:ext cx="2293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49</xdr:row>
      <xdr:rowOff>0</xdr:rowOff>
    </xdr:from>
    <xdr:to>
      <xdr:col>4</xdr:col>
      <xdr:colOff>0</xdr:colOff>
      <xdr:row>56</xdr:row>
      <xdr:rowOff>167640</xdr:rowOff>
    </xdr:to>
    <xdr:sp macro="" textlink="">
      <xdr:nvSpPr>
        <xdr:cNvPr id="38824" name="Rectangle 3">
          <a:extLst>
            <a:ext uri="{FF2B5EF4-FFF2-40B4-BE49-F238E27FC236}">
              <a16:creationId xmlns:a16="http://schemas.microsoft.com/office/drawing/2014/main" id="{00000000-0008-0000-0900-0000A8970000}"/>
            </a:ext>
          </a:extLst>
        </xdr:cNvPr>
        <xdr:cNvSpPr>
          <a:spLocks noChangeArrowheads="1"/>
        </xdr:cNvSpPr>
      </xdr:nvSpPr>
      <xdr:spPr bwMode="auto">
        <a:xfrm>
          <a:off x="0" y="9906000"/>
          <a:ext cx="2293620" cy="1363980"/>
        </a:xfrm>
        <a:prstGeom prst="rect">
          <a:avLst/>
        </a:prstGeom>
        <a:noFill/>
        <a:ln w="9360">
          <a:solidFill>
            <a:srgbClr val="00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53</xdr:row>
      <xdr:rowOff>7620</xdr:rowOff>
    </xdr:from>
    <xdr:to>
      <xdr:col>4</xdr:col>
      <xdr:colOff>0</xdr:colOff>
      <xdr:row>53</xdr:row>
      <xdr:rowOff>7620</xdr:rowOff>
    </xdr:to>
    <xdr:sp macro="" textlink="">
      <xdr:nvSpPr>
        <xdr:cNvPr id="38825" name="Line 4">
          <a:extLst>
            <a:ext uri="{FF2B5EF4-FFF2-40B4-BE49-F238E27FC236}">
              <a16:creationId xmlns:a16="http://schemas.microsoft.com/office/drawing/2014/main" id="{00000000-0008-0000-0900-0000A9970000}"/>
            </a:ext>
          </a:extLst>
        </xdr:cNvPr>
        <xdr:cNvSpPr>
          <a:spLocks noChangeShapeType="1"/>
        </xdr:cNvSpPr>
      </xdr:nvSpPr>
      <xdr:spPr bwMode="auto">
        <a:xfrm>
          <a:off x="0" y="10599420"/>
          <a:ext cx="2293620" cy="0"/>
        </a:xfrm>
        <a:prstGeom prst="line">
          <a:avLst/>
        </a:prstGeom>
        <a:noFill/>
        <a:ln w="9360">
          <a:solidFill>
            <a:srgbClr val="000000"/>
          </a:solidFill>
          <a:prstDash val="dash"/>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xdr:colOff>
      <xdr:row>0</xdr:row>
      <xdr:rowOff>1</xdr:rowOff>
    </xdr:from>
    <xdr:to>
      <xdr:col>11</xdr:col>
      <xdr:colOff>619314</xdr:colOff>
      <xdr:row>5</xdr:row>
      <xdr:rowOff>28764</xdr:rowOff>
    </xdr:to>
    <xdr:pic>
      <xdr:nvPicPr>
        <xdr:cNvPr id="2" name="Grafik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1" y="1"/>
          <a:ext cx="822513" cy="82251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C32DD7-6FC2-407B-BFFD-2C918EF0E497}" name="Table1" displayName="Table1" ref="D1:E4" totalsRowShown="0">
  <autoFilter ref="D1:E4" xr:uid="{3EE58176-6DA9-4386-BF41-434DB50CD612}"/>
  <tableColumns count="2">
    <tableColumn id="1" xr3:uid="{50B6439E-3F36-4EB9-ACBD-EB3A467F649E}" name="Sprache"/>
    <tableColumn id="2" xr3:uid="{19AD40ED-46BF-455A-8A2B-AC75F3B5742E}" name="Cod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B7213BB-C210-4183-B278-37AB112E280F}" name="Monate" displayName="Monate" ref="G1:H13" totalsRowShown="0">
  <autoFilter ref="G1:H13" xr:uid="{8F1C9A20-EBCD-42F1-A118-A4257ADAC8F6}"/>
  <tableColumns count="2">
    <tableColumn id="1" xr3:uid="{D499B6F7-A40E-453B-A2FD-8BF651113A2F}" name="Monat" dataDxfId="133"/>
    <tableColumn id="3" xr3:uid="{F5EE0E57-F75F-4C66-95A0-762AC66D66E5}" name="Column1" dataDxfId="132"/>
  </tableColumns>
  <tableStyleInfo name="TableStyleMedium2" showFirstColumn="0" showLastColumn="0" showRowStripes="1" showColumnStripes="0"/>
</table>
</file>

<file path=xl/theme/theme1.xml><?xml version="1.0" encoding="utf-8"?>
<a:theme xmlns:a="http://schemas.openxmlformats.org/drawingml/2006/main" name="Larissa">
  <a:themeElements>
    <a:clrScheme name="NewsPrint">
      <a:dk1>
        <a:sysClr val="windowText" lastClr="000000"/>
      </a:dk1>
      <a:lt1>
        <a:sysClr val="window" lastClr="FFFFFF"/>
      </a:lt1>
      <a:dk2>
        <a:srgbClr val="303030"/>
      </a:dk2>
      <a:lt2>
        <a:srgbClr val="DEDEE0"/>
      </a:lt2>
      <a:accent1>
        <a:srgbClr val="AD0101"/>
      </a:accent1>
      <a:accent2>
        <a:srgbClr val="726056"/>
      </a:accent2>
      <a:accent3>
        <a:srgbClr val="AC956E"/>
      </a:accent3>
      <a:accent4>
        <a:srgbClr val="808DA9"/>
      </a:accent4>
      <a:accent5>
        <a:srgbClr val="424E5B"/>
      </a:accent5>
      <a:accent6>
        <a:srgbClr val="730E00"/>
      </a:accent6>
      <a:hlink>
        <a:srgbClr val="D26900"/>
      </a:hlink>
      <a:folHlink>
        <a:srgbClr val="D89243"/>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FF0000"/>
    <pageSetUpPr fitToPage="1"/>
  </sheetPr>
  <dimension ref="A1:E47"/>
  <sheetViews>
    <sheetView tabSelected="1" zoomScale="85" zoomScaleNormal="85" workbookViewId="0">
      <selection activeCell="C6" sqref="C6:D6"/>
    </sheetView>
  </sheetViews>
  <sheetFormatPr defaultColWidth="11.54296875" defaultRowHeight="12.5" x14ac:dyDescent="0.25"/>
  <cols>
    <col min="1" max="1" width="6.6328125" style="24" customWidth="1"/>
    <col min="2" max="2" width="27.81640625" style="24" customWidth="1"/>
    <col min="3" max="3" width="39" style="24" customWidth="1"/>
    <col min="4" max="4" width="20.36328125" style="24" customWidth="1"/>
    <col min="5" max="16384" width="11.54296875" style="24"/>
  </cols>
  <sheetData>
    <row r="1" spans="1:5" s="23" customFormat="1" ht="18" customHeight="1" x14ac:dyDescent="0.25">
      <c r="A1" s="32" t="s">
        <v>48</v>
      </c>
      <c r="B1" s="33"/>
      <c r="C1" s="33"/>
      <c r="D1" s="33"/>
      <c r="E1" s="34"/>
    </row>
    <row r="2" spans="1:5" s="23" customFormat="1" ht="31.5" customHeight="1" thickBot="1" x14ac:dyDescent="0.3">
      <c r="A2" s="35" t="s">
        <v>49</v>
      </c>
      <c r="B2" s="36"/>
      <c r="C2" s="37"/>
      <c r="D2" s="36"/>
      <c r="E2" s="34"/>
    </row>
    <row r="3" spans="1:5" s="23" customFormat="1" ht="37.5" customHeight="1" thickBot="1" x14ac:dyDescent="0.3">
      <c r="A3" s="29" t="s">
        <v>23</v>
      </c>
      <c r="B3" s="222" t="s">
        <v>120</v>
      </c>
      <c r="C3" s="223"/>
      <c r="D3" s="224"/>
      <c r="E3" s="34"/>
    </row>
    <row r="4" spans="1:5" s="23" customFormat="1" ht="29.25" customHeight="1" thickBot="1" x14ac:dyDescent="0.3">
      <c r="A4" s="29">
        <v>1</v>
      </c>
      <c r="B4" s="63" t="s">
        <v>127</v>
      </c>
      <c r="C4" s="220" t="s">
        <v>85</v>
      </c>
      <c r="D4" s="221"/>
      <c r="E4" s="34"/>
    </row>
    <row r="5" spans="1:5" s="23" customFormat="1" ht="29.25" customHeight="1" thickBot="1" x14ac:dyDescent="0.3">
      <c r="A5" s="29">
        <f>A4+1</f>
        <v>2</v>
      </c>
      <c r="B5" s="38" t="s">
        <v>57</v>
      </c>
      <c r="C5" s="206" t="s">
        <v>17</v>
      </c>
      <c r="D5" s="205">
        <v>2025</v>
      </c>
      <c r="E5" s="34"/>
    </row>
    <row r="6" spans="1:5" ht="23.25" customHeight="1" thickBot="1" x14ac:dyDescent="0.4">
      <c r="A6" s="30">
        <f>A5+1</f>
        <v>3</v>
      </c>
      <c r="B6" s="39" t="s">
        <v>39</v>
      </c>
      <c r="C6" s="228" t="s">
        <v>60</v>
      </c>
      <c r="D6" s="229"/>
      <c r="E6" s="40"/>
    </row>
    <row r="7" spans="1:5" ht="23.25" customHeight="1" thickBot="1" x14ac:dyDescent="0.4">
      <c r="A7" s="30">
        <f t="shared" ref="A7:A17" si="0">A6+1</f>
        <v>4</v>
      </c>
      <c r="B7" s="39" t="s">
        <v>40</v>
      </c>
      <c r="C7" s="228" t="s">
        <v>61</v>
      </c>
      <c r="D7" s="229"/>
      <c r="E7" s="40"/>
    </row>
    <row r="8" spans="1:5" ht="22.5" customHeight="1" thickBot="1" x14ac:dyDescent="0.4">
      <c r="A8" s="30">
        <f t="shared" si="0"/>
        <v>5</v>
      </c>
      <c r="B8" s="38" t="s">
        <v>41</v>
      </c>
      <c r="C8" s="230" t="s">
        <v>80</v>
      </c>
      <c r="D8" s="229"/>
      <c r="E8" s="40"/>
    </row>
    <row r="9" spans="1:5" ht="42" customHeight="1" thickBot="1" x14ac:dyDescent="0.4">
      <c r="A9" s="30">
        <f t="shared" si="0"/>
        <v>6</v>
      </c>
      <c r="B9" s="231" t="s">
        <v>42</v>
      </c>
      <c r="C9" s="232"/>
      <c r="D9" s="73">
        <v>1.6458333333333333</v>
      </c>
      <c r="E9" s="40"/>
    </row>
    <row r="10" spans="1:5" ht="35.4" customHeight="1" thickBot="1" x14ac:dyDescent="0.35">
      <c r="A10" s="30">
        <f>A9+1</f>
        <v>7</v>
      </c>
      <c r="B10" s="226" t="s">
        <v>115</v>
      </c>
      <c r="C10" s="227"/>
      <c r="D10" s="74">
        <v>1</v>
      </c>
      <c r="E10" s="40"/>
    </row>
    <row r="11" spans="1:5" ht="11.25" hidden="1" customHeight="1" thickBot="1" x14ac:dyDescent="0.35">
      <c r="A11" s="30">
        <f t="shared" si="0"/>
        <v>8</v>
      </c>
      <c r="B11" s="64" t="s">
        <v>24</v>
      </c>
      <c r="C11" s="65"/>
      <c r="D11" s="66">
        <f>+D10</f>
        <v>1</v>
      </c>
      <c r="E11" s="40"/>
    </row>
    <row r="12" spans="1:5" ht="11.25" hidden="1" customHeight="1" thickBot="1" x14ac:dyDescent="0.35">
      <c r="A12" s="30">
        <f t="shared" si="0"/>
        <v>9</v>
      </c>
      <c r="B12" s="64" t="s">
        <v>25</v>
      </c>
      <c r="C12" s="65"/>
      <c r="D12" s="66">
        <f>+IF(D9=1,ROUND((TIME(23,45,0)+TIME(7,0,0)),5),ROUND((TIME(23,45,0)+TIME(5,9,0)),5))</f>
        <v>1.20417</v>
      </c>
      <c r="E12" s="40"/>
    </row>
    <row r="13" spans="1:5" ht="11.25" hidden="1" customHeight="1" thickBot="1" x14ac:dyDescent="0.35">
      <c r="A13" s="30">
        <f t="shared" si="0"/>
        <v>10</v>
      </c>
      <c r="B13" s="64" t="s">
        <v>26</v>
      </c>
      <c r="C13" s="67"/>
      <c r="D13" s="66">
        <f>+D11/2</f>
        <v>0.5</v>
      </c>
      <c r="E13" s="40"/>
    </row>
    <row r="14" spans="1:5" ht="24.75" customHeight="1" thickBot="1" x14ac:dyDescent="0.35">
      <c r="A14" s="30">
        <f>A10+1</f>
        <v>8</v>
      </c>
      <c r="B14" s="41" t="s">
        <v>46</v>
      </c>
      <c r="C14" s="200"/>
      <c r="D14" s="75">
        <f>D9*D10</f>
        <v>1.6458333333333333</v>
      </c>
      <c r="E14" s="40"/>
    </row>
    <row r="15" spans="1:5" ht="11.25" hidden="1" customHeight="1" thickBot="1" x14ac:dyDescent="0.35">
      <c r="A15" s="30">
        <f t="shared" si="0"/>
        <v>9</v>
      </c>
      <c r="B15" s="64" t="s">
        <v>27</v>
      </c>
      <c r="C15" s="68"/>
      <c r="D15" s="69">
        <v>0.5</v>
      </c>
      <c r="E15" s="40"/>
    </row>
    <row r="16" spans="1:5" ht="11.25" hidden="1" customHeight="1" thickBot="1" x14ac:dyDescent="0.35">
      <c r="A16" s="30">
        <f t="shared" si="0"/>
        <v>10</v>
      </c>
      <c r="B16" s="64" t="s">
        <v>28</v>
      </c>
      <c r="C16" s="65"/>
      <c r="D16" s="69">
        <v>0.375</v>
      </c>
      <c r="E16" s="40"/>
    </row>
    <row r="17" spans="1:5" ht="11.25" hidden="1" customHeight="1" thickBot="1" x14ac:dyDescent="0.35">
      <c r="A17" s="30">
        <f t="shared" si="0"/>
        <v>11</v>
      </c>
      <c r="B17" s="197" t="s">
        <v>29</v>
      </c>
      <c r="C17" s="67"/>
      <c r="D17" s="69">
        <v>0.25</v>
      </c>
      <c r="E17" s="40"/>
    </row>
    <row r="18" spans="1:5" ht="58" customHeight="1" thickBot="1" x14ac:dyDescent="0.35">
      <c r="A18" s="31">
        <f>A14+1</f>
        <v>9</v>
      </c>
      <c r="B18" s="233" t="s">
        <v>59</v>
      </c>
      <c r="C18" s="234"/>
      <c r="D18" s="204">
        <f>COUNTIF($D$19:$D$23, "&gt;0,02")</f>
        <v>5</v>
      </c>
      <c r="E18" s="40"/>
    </row>
    <row r="19" spans="1:5" ht="21" customHeight="1" thickBot="1" x14ac:dyDescent="0.35">
      <c r="A19" s="30">
        <f>A15+1</f>
        <v>10</v>
      </c>
      <c r="B19" s="198" t="s">
        <v>32</v>
      </c>
      <c r="C19" s="199">
        <f>IF(D19&gt;0.02, ABS(D19-C$24), 0)</f>
        <v>4.1666666666666519E-3</v>
      </c>
      <c r="D19" s="76">
        <v>0.33333333333333331</v>
      </c>
      <c r="E19" s="42"/>
    </row>
    <row r="20" spans="1:5" ht="24.75" customHeight="1" thickBot="1" x14ac:dyDescent="0.35">
      <c r="A20" s="30">
        <f>A16+1</f>
        <v>11</v>
      </c>
      <c r="B20" s="70" t="s">
        <v>33</v>
      </c>
      <c r="C20" s="71">
        <f t="shared" ref="C20:C23" si="1">IF(D20&gt;0.02, ABS(D20-C$24), 0)</f>
        <v>4.1666666666666519E-3</v>
      </c>
      <c r="D20" s="76">
        <v>0.33333333333333331</v>
      </c>
      <c r="E20" s="40"/>
    </row>
    <row r="21" spans="1:5" ht="24.75" customHeight="1" thickBot="1" x14ac:dyDescent="0.35">
      <c r="A21" s="30">
        <f>A17+1</f>
        <v>12</v>
      </c>
      <c r="B21" s="70" t="s">
        <v>34</v>
      </c>
      <c r="C21" s="71">
        <f t="shared" si="1"/>
        <v>4.1666666666666519E-3</v>
      </c>
      <c r="D21" s="76">
        <v>0.33333333333333331</v>
      </c>
      <c r="E21" s="40"/>
    </row>
    <row r="22" spans="1:5" ht="24.75" customHeight="1" thickBot="1" x14ac:dyDescent="0.35">
      <c r="A22" s="30">
        <f>A21+1</f>
        <v>13</v>
      </c>
      <c r="B22" s="201" t="s">
        <v>35</v>
      </c>
      <c r="C22" s="71">
        <f t="shared" si="1"/>
        <v>4.1666666666666519E-3</v>
      </c>
      <c r="D22" s="76">
        <v>0.33333333333333331</v>
      </c>
      <c r="E22" s="40"/>
    </row>
    <row r="23" spans="1:5" ht="24.75" customHeight="1" thickBot="1" x14ac:dyDescent="0.35">
      <c r="A23" s="30">
        <f t="shared" ref="A23:A32" si="2">A22+1</f>
        <v>14</v>
      </c>
      <c r="B23" s="203" t="s">
        <v>36</v>
      </c>
      <c r="C23" s="72">
        <f t="shared" si="1"/>
        <v>1.6666666666666663E-2</v>
      </c>
      <c r="D23" s="76">
        <v>0.3125</v>
      </c>
      <c r="E23" s="40"/>
    </row>
    <row r="24" spans="1:5" ht="24.75" customHeight="1" thickBot="1" x14ac:dyDescent="0.35">
      <c r="A24" s="30">
        <f t="shared" si="2"/>
        <v>15</v>
      </c>
      <c r="B24" s="202" t="s">
        <v>37</v>
      </c>
      <c r="C24" s="77">
        <f>D14/D18</f>
        <v>0.32916666666666666</v>
      </c>
      <c r="D24" s="43">
        <f>SUM(D19:D23)</f>
        <v>1.6458333333333333</v>
      </c>
      <c r="E24" s="40"/>
    </row>
    <row r="25" spans="1:5" ht="21" customHeight="1" thickBot="1" x14ac:dyDescent="0.35">
      <c r="A25" s="31">
        <f t="shared" si="2"/>
        <v>16</v>
      </c>
      <c r="B25" s="237" t="str">
        <f>+IF(ABS(D14-D24)&lt;0.0004,"Verteilung ist summarisch korrekt ","falsche Verteilung der Stunden ")</f>
        <v xml:space="preserve">Verteilung ist summarisch korrekt </v>
      </c>
      <c r="C25" s="238"/>
      <c r="D25" s="239"/>
      <c r="E25" s="40"/>
    </row>
    <row r="26" spans="1:5" ht="24.75" customHeight="1" thickBot="1" x14ac:dyDescent="0.35">
      <c r="A26" s="31">
        <f t="shared" si="2"/>
        <v>17</v>
      </c>
      <c r="B26" s="235" t="s">
        <v>121</v>
      </c>
      <c r="C26" s="236"/>
      <c r="D26" s="207">
        <f>DATE(D5,INDEX(Monate[Column1],MATCH(Mantelbogen!C5,Monate[Monat],0)),1)</f>
        <v>45658</v>
      </c>
      <c r="E26" s="40"/>
    </row>
    <row r="27" spans="1:5" ht="21" customHeight="1" thickBot="1" x14ac:dyDescent="0.35">
      <c r="A27" s="30">
        <f t="shared" si="2"/>
        <v>18</v>
      </c>
      <c r="B27" s="78" t="s">
        <v>38</v>
      </c>
      <c r="C27" s="79" t="s">
        <v>66</v>
      </c>
      <c r="D27" s="82" t="s">
        <v>67</v>
      </c>
      <c r="E27" s="40"/>
    </row>
    <row r="28" spans="1:5" ht="24.75" customHeight="1" thickBot="1" x14ac:dyDescent="0.35">
      <c r="A28" s="30">
        <f t="shared" si="2"/>
        <v>19</v>
      </c>
      <c r="B28" s="80" t="s">
        <v>58</v>
      </c>
      <c r="C28" s="208">
        <v>0</v>
      </c>
      <c r="D28" s="209">
        <v>0</v>
      </c>
      <c r="E28" s="40"/>
    </row>
    <row r="29" spans="1:5" ht="24.75" customHeight="1" thickBot="1" x14ac:dyDescent="0.35">
      <c r="A29" s="30">
        <f t="shared" si="2"/>
        <v>20</v>
      </c>
      <c r="B29" s="80" t="s">
        <v>68</v>
      </c>
      <c r="C29" s="44"/>
      <c r="D29" s="210" t="s">
        <v>30</v>
      </c>
      <c r="E29" s="40"/>
    </row>
    <row r="30" spans="1:5" ht="24.75" customHeight="1" thickBot="1" x14ac:dyDescent="0.35">
      <c r="A30" s="30">
        <f t="shared" si="2"/>
        <v>21</v>
      </c>
      <c r="B30" s="80" t="s">
        <v>69</v>
      </c>
      <c r="C30" s="45" t="str">
        <f>IF(OR(ISTEXT(C29), C29 &lt; 0.001), " ", IF(SUM(C19:C23)/D14 &lt; 0.025, C33, 0))</f>
        <v xml:space="preserve"> </v>
      </c>
      <c r="D30" s="210" t="s">
        <v>30</v>
      </c>
      <c r="E30" s="40"/>
    </row>
    <row r="31" spans="1:5" ht="24.75" customHeight="1" thickBot="1" x14ac:dyDescent="0.35">
      <c r="A31" s="30">
        <f t="shared" si="2"/>
        <v>22</v>
      </c>
      <c r="B31" s="81" t="s">
        <v>31</v>
      </c>
      <c r="C31" s="46"/>
      <c r="D31" s="47"/>
      <c r="E31" s="40"/>
    </row>
    <row r="32" spans="1:5" ht="40.5" customHeight="1" thickBot="1" x14ac:dyDescent="0.35">
      <c r="A32" s="30">
        <f t="shared" si="2"/>
        <v>23</v>
      </c>
      <c r="B32" s="240" t="s">
        <v>132</v>
      </c>
      <c r="C32" s="241"/>
      <c r="D32" s="242"/>
      <c r="E32" s="40"/>
    </row>
    <row r="33" spans="1:5" ht="9.75" customHeight="1" x14ac:dyDescent="0.3">
      <c r="A33" s="40"/>
      <c r="B33" s="48">
        <f>MATCH(C5,{"Januar";"Februar";"März";"April";"Mai";"Juni";"Juli";"August";"September";"Oktober";"November";"Dezember"},0)</f>
        <v>1</v>
      </c>
      <c r="C33" s="49">
        <f>D33*$D18/5</f>
        <v>30</v>
      </c>
      <c r="D33" s="50">
        <v>30</v>
      </c>
      <c r="E33" s="40"/>
    </row>
    <row r="34" spans="1:5" ht="13" x14ac:dyDescent="0.3">
      <c r="A34" s="51">
        <v>1</v>
      </c>
      <c r="B34" s="52" t="s">
        <v>71</v>
      </c>
      <c r="C34" s="53"/>
      <c r="D34" s="54"/>
      <c r="E34" s="55" t="str">
        <f xml:space="preserve"> IF(OR(ISTEXT(C$29), C$29 &lt; 0.001), " ",#REF!)</f>
        <v xml:space="preserve"> </v>
      </c>
    </row>
    <row r="35" spans="1:5" ht="13" x14ac:dyDescent="0.3">
      <c r="A35" s="56"/>
      <c r="B35" s="52" t="s">
        <v>76</v>
      </c>
      <c r="C35" s="54"/>
      <c r="D35" s="54"/>
      <c r="E35" s="55" t="str">
        <f>IF(OR(ISTEXT(C$29), C$29 &lt; 0.001), " ", E39)</f>
        <v xml:space="preserve"> </v>
      </c>
    </row>
    <row r="36" spans="1:5" ht="17.5" customHeight="1" x14ac:dyDescent="0.3">
      <c r="A36" s="51">
        <v>2</v>
      </c>
      <c r="B36" s="52" t="s">
        <v>70</v>
      </c>
      <c r="C36" s="54"/>
      <c r="D36" s="54"/>
      <c r="E36" s="55"/>
    </row>
    <row r="37" spans="1:5" ht="13" customHeight="1" x14ac:dyDescent="0.3">
      <c r="A37" s="56"/>
      <c r="B37" s="52" t="s">
        <v>78</v>
      </c>
      <c r="C37" s="57" t="s">
        <v>116</v>
      </c>
      <c r="D37" s="54"/>
      <c r="E37" s="55" t="str">
        <f>IF(OR(ISTEXT(C$29), C$29 &lt; 0.001), " ", E40)</f>
        <v xml:space="preserve"> </v>
      </c>
    </row>
    <row r="38" spans="1:5" ht="13" customHeight="1" x14ac:dyDescent="0.3">
      <c r="A38" s="56"/>
      <c r="B38" s="52" t="s">
        <v>79</v>
      </c>
      <c r="C38" s="57" t="s">
        <v>117</v>
      </c>
      <c r="D38" s="54"/>
      <c r="E38" s="55"/>
    </row>
    <row r="39" spans="1:5" ht="13" x14ac:dyDescent="0.3">
      <c r="A39" s="56"/>
      <c r="B39" s="52" t="s">
        <v>118</v>
      </c>
      <c r="C39" s="54"/>
      <c r="D39" s="54"/>
      <c r="E39" s="58" t="s">
        <v>64</v>
      </c>
    </row>
    <row r="40" spans="1:5" ht="17.5" customHeight="1" x14ac:dyDescent="0.3">
      <c r="A40" s="51">
        <v>3</v>
      </c>
      <c r="B40" s="59" t="s">
        <v>62</v>
      </c>
      <c r="C40" s="54"/>
      <c r="D40" s="54"/>
      <c r="E40" s="60" t="s">
        <v>65</v>
      </c>
    </row>
    <row r="41" spans="1:5" ht="13" x14ac:dyDescent="0.3">
      <c r="A41" s="56"/>
      <c r="B41" s="59" t="s">
        <v>63</v>
      </c>
      <c r="C41" s="54"/>
      <c r="D41" s="54"/>
      <c r="E41" s="40"/>
    </row>
    <row r="42" spans="1:5" ht="17.5" customHeight="1" x14ac:dyDescent="0.3">
      <c r="A42" s="51">
        <v>4</v>
      </c>
      <c r="B42" s="52" t="s">
        <v>54</v>
      </c>
      <c r="C42" s="54"/>
      <c r="D42" s="54"/>
      <c r="E42" s="40"/>
    </row>
    <row r="43" spans="1:5" ht="13" x14ac:dyDescent="0.3">
      <c r="A43" s="51"/>
      <c r="B43" s="52" t="s">
        <v>55</v>
      </c>
      <c r="C43" s="54"/>
      <c r="D43" s="54"/>
      <c r="E43" s="40"/>
    </row>
    <row r="44" spans="1:5" ht="13" x14ac:dyDescent="0.3">
      <c r="A44" s="40"/>
      <c r="B44" s="225" t="s">
        <v>119</v>
      </c>
      <c r="C44" s="225"/>
      <c r="D44" s="225"/>
      <c r="E44" s="40"/>
    </row>
    <row r="45" spans="1:5" ht="13" x14ac:dyDescent="0.3">
      <c r="A45" s="40"/>
      <c r="B45" s="52" t="s">
        <v>56</v>
      </c>
      <c r="C45" s="54"/>
      <c r="D45" s="61"/>
      <c r="E45" s="40"/>
    </row>
    <row r="46" spans="1:5" ht="17.5" customHeight="1" x14ac:dyDescent="0.3">
      <c r="A46" s="51">
        <v>5</v>
      </c>
      <c r="B46" s="52" t="s">
        <v>74</v>
      </c>
      <c r="C46" s="54"/>
      <c r="D46" s="61"/>
      <c r="E46" s="40"/>
    </row>
    <row r="47" spans="1:5" ht="20" customHeight="1" x14ac:dyDescent="0.3">
      <c r="A47" s="40"/>
      <c r="B47" s="62" t="s">
        <v>77</v>
      </c>
      <c r="C47" s="62" t="s">
        <v>75</v>
      </c>
      <c r="D47" s="194" t="s">
        <v>126</v>
      </c>
      <c r="E47" s="40"/>
    </row>
  </sheetData>
  <sheetProtection password="9BC9" sheet="1" objects="1" scenarios="1"/>
  <mergeCells count="12">
    <mergeCell ref="C4:D4"/>
    <mergeCell ref="B3:D3"/>
    <mergeCell ref="B44:D44"/>
    <mergeCell ref="B10:C10"/>
    <mergeCell ref="C6:D6"/>
    <mergeCell ref="C7:D7"/>
    <mergeCell ref="C8:D8"/>
    <mergeCell ref="B9:C9"/>
    <mergeCell ref="B18:C18"/>
    <mergeCell ref="B26:C26"/>
    <mergeCell ref="B25:D25"/>
    <mergeCell ref="B32:D32"/>
  </mergeCells>
  <conditionalFormatting sqref="B25">
    <cfRule type="cellIs" dxfId="151" priority="3" stopIfTrue="1" operator="equal">
      <formula>"Verteilung ist summarisch korrekt "</formula>
    </cfRule>
  </conditionalFormatting>
  <dataValidations count="2">
    <dataValidation type="list" allowBlank="1" showInputMessage="1" showErrorMessage="1" sqref="C4" xr:uid="{593985F0-5A99-4CAF-B563-6EC76AF34231}">
      <formula1>"Deutsch,Englisch,Französisch"</formula1>
    </dataValidation>
    <dataValidation type="list" allowBlank="1" showInputMessage="1" showErrorMessage="1" sqref="C5" xr:uid="{3A206532-BA35-4D58-B477-784D0EEB7CF2}">
      <formula1>tblMonate</formula1>
    </dataValidation>
  </dataValidations>
  <printOptions horizontalCentered="1" verticalCentered="1"/>
  <pageMargins left="0.62992125984251968" right="0.35433070866141736" top="0.31496062992125984" bottom="0.19685039370078741" header="0.15748031496062992" footer="0.15748031496062992"/>
  <pageSetup paperSize="9" scale="8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pageSetUpPr fitToPage="1"/>
  </sheetPr>
  <dimension ref="A1:N61"/>
  <sheetViews>
    <sheetView zoomScaleNormal="100" workbookViewId="0">
      <selection activeCell="A4" sqref="A4:E6"/>
    </sheetView>
  </sheetViews>
  <sheetFormatPr defaultColWidth="11.54296875" defaultRowHeight="13" x14ac:dyDescent="0.3"/>
  <cols>
    <col min="1" max="1" width="5.54296875" style="4" customWidth="1"/>
    <col min="2" max="2" width="9.08984375" style="5" customWidth="1"/>
    <col min="3" max="3" width="9.6328125" style="5" customWidth="1"/>
    <col min="4" max="4" width="9.08984375" style="5" customWidth="1"/>
    <col min="5" max="5" width="8.54296875" style="2" customWidth="1"/>
    <col min="6" max="6" width="7.08984375" style="2" customWidth="1"/>
    <col min="7" max="7" width="3.36328125" style="2" customWidth="1"/>
    <col min="8" max="8" width="9.08984375" style="2" customWidth="1"/>
    <col min="9" max="9" width="11.1796875" style="2" bestFit="1" customWidth="1"/>
    <col min="10" max="10" width="10.36328125" style="2" customWidth="1"/>
    <col min="11" max="11" width="2.90625" style="2" customWidth="1"/>
    <col min="12" max="12" width="8.90625" style="2" customWidth="1"/>
    <col min="13" max="13" width="16.36328125" style="183" customWidth="1"/>
    <col min="14" max="14" width="18.1796875" style="189" customWidth="1"/>
    <col min="15" max="16384" width="11.54296875" style="2"/>
  </cols>
  <sheetData>
    <row r="1" spans="1:12" ht="15.5" x14ac:dyDescent="0.3">
      <c r="A1" s="289" t="s">
        <v>53</v>
      </c>
      <c r="B1" s="289"/>
      <c r="C1" s="289"/>
      <c r="D1" s="289"/>
      <c r="E1" s="289"/>
      <c r="F1" s="174"/>
      <c r="G1" s="277" t="s">
        <v>9</v>
      </c>
      <c r="H1" s="277"/>
      <c r="I1" s="277"/>
      <c r="J1" s="277"/>
    </row>
    <row r="2" spans="1:12" ht="15.5" x14ac:dyDescent="0.3">
      <c r="A2" s="289"/>
      <c r="B2" s="289"/>
      <c r="C2" s="289"/>
      <c r="D2" s="289"/>
      <c r="E2" s="289"/>
      <c r="F2" s="174"/>
      <c r="G2" s="277"/>
      <c r="H2" s="277"/>
      <c r="I2" s="277"/>
      <c r="J2" s="277"/>
    </row>
    <row r="3" spans="1:12" x14ac:dyDescent="0.3">
      <c r="A3" s="288" t="s">
        <v>11</v>
      </c>
      <c r="B3" s="288"/>
      <c r="C3" s="288"/>
      <c r="D3" s="288"/>
      <c r="E3" s="288"/>
      <c r="F3" s="105"/>
      <c r="G3" s="277"/>
      <c r="H3" s="277"/>
      <c r="I3" s="277"/>
      <c r="J3" s="277"/>
    </row>
    <row r="4" spans="1:12" ht="13.25" customHeight="1" x14ac:dyDescent="0.3">
      <c r="A4" s="278" t="s">
        <v>5</v>
      </c>
      <c r="B4" s="278"/>
      <c r="C4" s="278"/>
      <c r="D4" s="278"/>
      <c r="E4" s="278"/>
      <c r="F4" s="157"/>
      <c r="G4" s="277"/>
      <c r="H4" s="277"/>
      <c r="I4" s="277"/>
      <c r="J4" s="277"/>
    </row>
    <row r="5" spans="1:12" ht="6" customHeight="1" x14ac:dyDescent="0.3">
      <c r="A5" s="278"/>
      <c r="B5" s="278"/>
      <c r="C5" s="278"/>
      <c r="D5" s="278"/>
      <c r="E5" s="278"/>
      <c r="F5" s="157"/>
      <c r="G5" s="277"/>
      <c r="H5" s="277"/>
      <c r="I5" s="277"/>
      <c r="J5" s="277"/>
    </row>
    <row r="6" spans="1:12" ht="13.25" customHeight="1" x14ac:dyDescent="0.3">
      <c r="A6" s="278"/>
      <c r="B6" s="278"/>
      <c r="C6" s="278"/>
      <c r="D6" s="278"/>
      <c r="E6" s="278"/>
      <c r="F6" s="157"/>
      <c r="G6" s="277"/>
      <c r="H6" s="277"/>
      <c r="I6" s="277"/>
      <c r="J6" s="277"/>
    </row>
    <row r="7" spans="1:12" ht="13.25" customHeight="1" x14ac:dyDescent="0.3">
      <c r="A7" s="6"/>
      <c r="B7" s="6"/>
      <c r="C7" s="6"/>
      <c r="D7" s="6"/>
      <c r="E7" s="6"/>
      <c r="F7" s="6"/>
      <c r="G7" s="277"/>
      <c r="H7" s="277"/>
      <c r="I7" s="277"/>
      <c r="J7" s="277"/>
    </row>
    <row r="8" spans="1:12" ht="6" customHeight="1" thickBot="1" x14ac:dyDescent="0.35">
      <c r="A8" s="7"/>
      <c r="B8" s="8"/>
      <c r="C8" s="8"/>
      <c r="D8" s="8"/>
      <c r="E8" s="9"/>
      <c r="F8" s="9"/>
      <c r="G8" s="9"/>
      <c r="H8" s="9"/>
      <c r="I8" s="10"/>
      <c r="J8" s="10"/>
      <c r="K8" s="11"/>
      <c r="L8" s="12"/>
    </row>
    <row r="9" spans="1:12" ht="6" customHeight="1" x14ac:dyDescent="0.3">
      <c r="A9" s="13"/>
      <c r="B9" s="14"/>
      <c r="C9" s="14"/>
      <c r="D9" s="14"/>
      <c r="E9" s="15"/>
      <c r="F9" s="15"/>
      <c r="G9" s="15"/>
      <c r="H9" s="15"/>
      <c r="I9" s="16"/>
      <c r="J9" s="16"/>
      <c r="K9" s="17"/>
      <c r="L9" s="18"/>
    </row>
    <row r="10" spans="1:12" x14ac:dyDescent="0.3">
      <c r="A10" s="119"/>
      <c r="B10" s="120"/>
      <c r="C10" s="120"/>
      <c r="D10" s="120"/>
      <c r="E10" s="121"/>
      <c r="F10" s="121"/>
      <c r="G10" s="121"/>
      <c r="H10" s="105"/>
      <c r="I10" s="122"/>
      <c r="J10" s="122"/>
      <c r="K10" s="123"/>
      <c r="L10" s="124"/>
    </row>
    <row r="11" spans="1:12" x14ac:dyDescent="0.3">
      <c r="A11" s="290" t="s">
        <v>6</v>
      </c>
      <c r="B11" s="290"/>
      <c r="C11" s="125" t="str">
        <f>Aug!C11</f>
        <v>ATHENE, Pallas</v>
      </c>
      <c r="D11" s="126"/>
      <c r="E11" s="127"/>
      <c r="F11" s="128"/>
      <c r="G11" s="128" t="s">
        <v>8</v>
      </c>
      <c r="H11" s="129"/>
      <c r="I11" s="130">
        <f>DATE(J11,9,1)</f>
        <v>45901</v>
      </c>
      <c r="J11" s="131">
        <f>Jan!J11</f>
        <v>2025</v>
      </c>
      <c r="K11" s="132"/>
      <c r="L11" s="133"/>
    </row>
    <row r="12" spans="1:12" ht="13" customHeight="1" x14ac:dyDescent="0.3">
      <c r="A12" s="134"/>
      <c r="B12" s="124"/>
      <c r="C12" s="135"/>
      <c r="D12" s="136"/>
      <c r="E12" s="128"/>
      <c r="F12" s="128"/>
      <c r="G12" s="121"/>
      <c r="I12" s="332" t="s">
        <v>125</v>
      </c>
      <c r="J12" s="332"/>
      <c r="K12" s="332"/>
      <c r="L12" s="332"/>
    </row>
    <row r="13" spans="1:12" x14ac:dyDescent="0.3">
      <c r="A13" s="290" t="s">
        <v>7</v>
      </c>
      <c r="B13" s="290"/>
      <c r="C13" s="125" t="str">
        <f>Aug!C13</f>
        <v>Geschäftsstelle</v>
      </c>
      <c r="D13" s="139"/>
      <c r="E13" s="127"/>
      <c r="F13" s="140"/>
      <c r="G13" s="140"/>
      <c r="H13" s="19"/>
      <c r="I13" s="333"/>
      <c r="J13" s="333"/>
      <c r="K13" s="333"/>
      <c r="L13" s="333"/>
    </row>
    <row r="14" spans="1:12" ht="13.5" thickBot="1" x14ac:dyDescent="0.35">
      <c r="A14" s="134"/>
      <c r="B14" s="141"/>
      <c r="C14" s="141"/>
      <c r="D14" s="141"/>
      <c r="E14" s="105"/>
      <c r="F14" s="105"/>
      <c r="G14" s="105"/>
      <c r="H14" s="105"/>
      <c r="I14" s="105"/>
      <c r="J14" s="105"/>
      <c r="K14" s="123"/>
      <c r="L14" s="124"/>
    </row>
    <row r="15" spans="1:12" ht="13.25" customHeight="1" x14ac:dyDescent="0.3">
      <c r="A15" s="295"/>
      <c r="B15" s="295" t="s">
        <v>14</v>
      </c>
      <c r="C15" s="295" t="s">
        <v>18</v>
      </c>
      <c r="D15" s="295" t="s">
        <v>19</v>
      </c>
      <c r="E15" s="295" t="s">
        <v>16</v>
      </c>
      <c r="F15" s="283" t="s">
        <v>44</v>
      </c>
      <c r="G15" s="283"/>
      <c r="H15" s="279" t="s">
        <v>45</v>
      </c>
      <c r="I15" s="285" t="s">
        <v>0</v>
      </c>
      <c r="J15" s="285"/>
      <c r="K15" s="244" t="s">
        <v>43</v>
      </c>
      <c r="L15" s="245"/>
    </row>
    <row r="16" spans="1:12" ht="13.5" thickBot="1" x14ac:dyDescent="0.35">
      <c r="A16" s="296"/>
      <c r="B16" s="296"/>
      <c r="C16" s="296"/>
      <c r="D16" s="296"/>
      <c r="E16" s="296"/>
      <c r="F16" s="283"/>
      <c r="G16" s="283"/>
      <c r="H16" s="280"/>
      <c r="I16" s="84" t="s">
        <v>1</v>
      </c>
      <c r="J16" s="84" t="s">
        <v>2</v>
      </c>
      <c r="K16" s="246"/>
      <c r="L16" s="247"/>
    </row>
    <row r="17" spans="1:14" ht="13.5" customHeight="1" thickBot="1" x14ac:dyDescent="0.35">
      <c r="A17" s="296"/>
      <c r="B17" s="296"/>
      <c r="C17" s="296"/>
      <c r="D17" s="296"/>
      <c r="E17" s="296"/>
      <c r="F17" s="283"/>
      <c r="G17" s="283"/>
      <c r="H17" s="280"/>
      <c r="I17" s="286">
        <f>IF(Mantelbogen!D26=I11,Mantelbogen!C28,Aug!I53)</f>
        <v>0.70833333333333459</v>
      </c>
      <c r="J17" s="287" t="str">
        <f>IF(Mantelbogen!D26=I11,Mantelbogen!D28,Aug!J53)</f>
        <v/>
      </c>
      <c r="K17" s="248" t="str">
        <f>IF(I17/H57 &gt; 1, I17/H57, " " )</f>
        <v xml:space="preserve"> </v>
      </c>
      <c r="L17" s="249"/>
    </row>
    <row r="18" spans="1:14" ht="13.5" customHeight="1" thickBot="1" x14ac:dyDescent="0.35">
      <c r="A18" s="298"/>
      <c r="B18" s="297"/>
      <c r="C18" s="297"/>
      <c r="D18" s="297"/>
      <c r="E18" s="297"/>
      <c r="F18" s="283"/>
      <c r="G18" s="283"/>
      <c r="H18" s="281"/>
      <c r="I18" s="286"/>
      <c r="J18" s="287"/>
      <c r="K18" s="250"/>
      <c r="L18" s="251"/>
    </row>
    <row r="19" spans="1:14" ht="17.399999999999999" customHeight="1" x14ac:dyDescent="0.55000000000000004">
      <c r="A19" s="86">
        <v>1</v>
      </c>
      <c r="B19" s="85" t="str">
        <f>TEXT(DATE(J$11,MONTH(I$11),A19),Textcode)</f>
        <v>Montag</v>
      </c>
      <c r="C19" s="87">
        <v>0.35416666666666669</v>
      </c>
      <c r="D19" s="213">
        <f t="array" ref="D19">IF(AND(COUNT(SEARCH(Sonderarbeit,$N19,1))&gt;=1,$B19=Ref!$A$7),Ref!$K$1,Ref!$K$2)</f>
        <v>0.70833333333333337</v>
      </c>
      <c r="E19" s="213">
        <f t="array" ref="E19">IF(AND(COUNT(SEARCH(Sonderarbeit,$N19))&gt;=1,$B19=Ref!$A$7),,Ref!$K$3)</f>
        <v>2.0833333333333332E-2</v>
      </c>
      <c r="F19" s="270">
        <f>IF(ISTEXT(C19),,D19-C19-E19)</f>
        <v>0.33333333333333337</v>
      </c>
      <c r="G19" s="271"/>
      <c r="H19" s="88">
        <f t="shared" ref="H19:H35" si="0">IF(AND(ISTEXT(C19),ISERR(SEARCH("ausgleich",C19,1))),,INDEX(H$50:H$57,WEEKDAY(DATE(J$11,MONTH(I$11),A19),2),1,1))</f>
        <v>0.33333333333333331</v>
      </c>
      <c r="I19" s="89" t="str">
        <f t="array" ref="I19">IF(AND(F19&gt;H19,OR(AND(OR($B19&lt;&gt;Ref!$A$7,$H$55&gt;0),OR($B19&lt;&gt;Ref!$A$8,$H$56&gt;0)),COUNT(SEARCH(Sonderarbeit,$N19))&gt;=1),ISNONTEXT(C19),C19&lt;&gt;""),F19-H19,"")</f>
        <v/>
      </c>
      <c r="J19" s="90" t="str">
        <f t="array" ref="J19">IF(OR(AND(F19&lt;H19,OR(AND(OR($B19&lt;&gt;Ref!$A$7,$H$55&gt;0),OR($B19&lt;&gt;Ref!$A$8,$H$56&gt;0)),COUNT(SEARCH(Sonderarbeit,$N19))&gt;=1)),C19="Ausgleich"),H19-F19,"")</f>
        <v/>
      </c>
      <c r="K19" s="170" t="str">
        <f>IF(AND(B19=Ref!$A$8,SUM(I19:I19)&lt;SUM(J19:J19)),"-","")</f>
        <v/>
      </c>
      <c r="L19" s="171" t="str">
        <f>IF(B19=Ref!$A$8,ABS(SUM(I19:I19)-SUM(J19:J19)),"")</f>
        <v/>
      </c>
      <c r="N19" s="183"/>
    </row>
    <row r="20" spans="1:14" ht="17.399999999999999" customHeight="1" x14ac:dyDescent="0.55000000000000004">
      <c r="A20" s="86">
        <v>2</v>
      </c>
      <c r="B20" s="85" t="str">
        <f t="shared" ref="B20:B48" si="1">TEXT(DATE(J$11,MONTH(I$11),A20),Textcode)</f>
        <v>Dienstag</v>
      </c>
      <c r="C20" s="87">
        <v>0.35416666666666669</v>
      </c>
      <c r="D20" s="213">
        <f t="array" ref="D20">IF(AND(COUNT(SEARCH(Sonderarbeit,$N20,1))&gt;=1,$B20=Ref!$A$7),Ref!$K$1,Ref!$K$2)</f>
        <v>0.70833333333333337</v>
      </c>
      <c r="E20" s="213">
        <f t="array" ref="E20">IF(AND(COUNT(SEARCH(Sonderarbeit,$N20))&gt;=1,$B20=Ref!$A$7),,Ref!$K$3)</f>
        <v>2.0833333333333332E-2</v>
      </c>
      <c r="F20" s="270">
        <f t="shared" ref="F20:F48" si="2">IF(ISTEXT(C20),,D20-C20-E20)</f>
        <v>0.33333333333333337</v>
      </c>
      <c r="G20" s="271"/>
      <c r="H20" s="88">
        <f t="shared" si="0"/>
        <v>0.33333333333333331</v>
      </c>
      <c r="I20" s="89" t="str">
        <f t="array" ref="I20">IF(AND(F20&gt;H20,OR(AND(OR($B20&lt;&gt;Ref!$A$7,$H$55&gt;0),OR($B20&lt;&gt;Ref!$A$8,$H$56&gt;0)),COUNT(SEARCH(Sonderarbeit,$N20))&gt;=1),ISNONTEXT(C20),C20&lt;&gt;""),F20-H20,"")</f>
        <v/>
      </c>
      <c r="J20" s="90" t="str">
        <f t="array" ref="J20">IF(OR(AND(F20&lt;H20,OR(AND(OR($B20&lt;&gt;Ref!$A$7,$H$55&gt;0),OR($B20&lt;&gt;Ref!$A$8,$H$56&gt;0)),COUNT(SEARCH(Sonderarbeit,$N20))&gt;=1)),C20="Ausgleich"),H20-F20,"")</f>
        <v/>
      </c>
      <c r="K20" s="91" t="str">
        <f>IF(AND(B20=Ref!$A$8,SUM(I19:I20)&lt;SUM(J19:J20)),"-","")</f>
        <v/>
      </c>
      <c r="L20" s="92" t="str">
        <f>IF(B20=Ref!$A$8,ABS(SUM(I19:I20)-SUM(J19:J20)),"")</f>
        <v/>
      </c>
      <c r="N20" s="183"/>
    </row>
    <row r="21" spans="1:14" ht="17.399999999999999" customHeight="1" x14ac:dyDescent="0.55000000000000004">
      <c r="A21" s="93">
        <v>3</v>
      </c>
      <c r="B21" s="85" t="str">
        <f t="shared" si="1"/>
        <v>Mittwoch</v>
      </c>
      <c r="C21" s="87">
        <v>0.35416666666666669</v>
      </c>
      <c r="D21" s="213">
        <f t="array" ref="D21">IF(AND(COUNT(SEARCH(Sonderarbeit,$N21,1))&gt;=1,$B21=Ref!$A$7),Ref!$K$1,Ref!$K$2)</f>
        <v>0.70833333333333337</v>
      </c>
      <c r="E21" s="213">
        <f t="array" ref="E21">IF(AND(COUNT(SEARCH(Sonderarbeit,$N21))&gt;=1,$B21=Ref!$A$7),,Ref!$K$3)</f>
        <v>2.0833333333333332E-2</v>
      </c>
      <c r="F21" s="270">
        <f t="shared" si="2"/>
        <v>0.33333333333333337</v>
      </c>
      <c r="G21" s="271"/>
      <c r="H21" s="88">
        <f t="shared" si="0"/>
        <v>0.33333333333333331</v>
      </c>
      <c r="I21" s="89" t="str">
        <f t="array" ref="I21">IF(AND(F21&gt;H21,OR(AND(OR($B21&lt;&gt;Ref!$A$7,$H$55&gt;0),OR($B21&lt;&gt;Ref!$A$8,$H$56&gt;0)),COUNT(SEARCH(Sonderarbeit,$N21))&gt;=1),ISNONTEXT(C21),C21&lt;&gt;""),F21-H21,"")</f>
        <v/>
      </c>
      <c r="J21" s="90" t="str">
        <f t="array" ref="J21">IF(OR(AND(F21&lt;H21,OR(AND(OR($B21&lt;&gt;Ref!$A$7,$H$55&gt;0),OR($B21&lt;&gt;Ref!$A$8,$H$56&gt;0)),COUNT(SEARCH(Sonderarbeit,$N21))&gt;=1)),C21="Ausgleich"),H21-F21,"")</f>
        <v/>
      </c>
      <c r="K21" s="91" t="str">
        <f>IF(AND(B21=Ref!$A$8,SUM(I19:I21)&lt;SUM(J19:J21)),"-","")</f>
        <v/>
      </c>
      <c r="L21" s="92" t="str">
        <f>IF(B21=Ref!$A$8,ABS(SUM(I19:I21)-SUM(J19:J21)),"")</f>
        <v/>
      </c>
      <c r="N21" s="183"/>
    </row>
    <row r="22" spans="1:14" ht="17.399999999999999" customHeight="1" x14ac:dyDescent="0.55000000000000004">
      <c r="A22" s="94">
        <v>4</v>
      </c>
      <c r="B22" s="85" t="str">
        <f t="shared" si="1"/>
        <v>Donnerstag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0.33333333333333331</v>
      </c>
      <c r="I22" s="89" t="str">
        <f t="array" ref="I22">IF(AND(F22&gt;H22,OR(AND(OR($B22&lt;&gt;Ref!$A$7,$H$55&gt;0),OR($B22&lt;&gt;Ref!$A$8,$H$56&gt;0)),COUNT(SEARCH(Sonderarbeit,$N22))&gt;=1),ISNONTEXT(C22),C22&lt;&gt;""),F22-H22,"")</f>
        <v/>
      </c>
      <c r="J22" s="90" t="str">
        <f t="array" ref="J22">IF(OR(AND(F22&lt;H22,OR(AND(OR($B22&lt;&gt;Ref!$A$7,$H$55&gt;0),OR($B22&lt;&gt;Ref!$A$8,$H$56&gt;0)),COUNT(SEARCH(Sonderarbeit,$N22))&gt;=1)),C22="Ausgleich"),H22-F22,"")</f>
        <v/>
      </c>
      <c r="K22" s="91" t="str">
        <f>IF(AND(B22=Ref!$A$8,SUM(I19:I22)&lt;SUM(J19:J22)),"-","")</f>
        <v/>
      </c>
      <c r="L22" s="92" t="str">
        <f>IF(B22=Ref!$A$8,ABS(SUM(I19:I22)-SUM(J19:J22)),"")</f>
        <v/>
      </c>
      <c r="N22" s="183"/>
    </row>
    <row r="23" spans="1:14" ht="17.399999999999999" customHeight="1" x14ac:dyDescent="0.55000000000000004">
      <c r="A23" s="94">
        <v>5</v>
      </c>
      <c r="B23" s="85" t="str">
        <f t="shared" si="1"/>
        <v>Freitag</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0.3125</v>
      </c>
      <c r="I23" s="89">
        <f t="array" ref="I23">IF(AND(F23&gt;H23,OR(AND(OR($B23&lt;&gt;Ref!$A$7,$H$55&gt;0),OR($B23&lt;&gt;Ref!$A$8,$H$56&gt;0)),COUNT(SEARCH(Sonderarbeit,$N23))&gt;=1),ISNONTEXT(C23),C23&lt;&gt;""),F23-H23,"")</f>
        <v>2.083333333333337E-2</v>
      </c>
      <c r="J23" s="90" t="str">
        <f t="array" ref="J23">IF(OR(AND(F23&lt;H23,OR(AND(OR($B23&lt;&gt;Ref!$A$7,$H$55&gt;0),OR($B23&lt;&gt;Ref!$A$8,$H$56&gt;0)),COUNT(SEARCH(Sonderarbeit,$N23))&gt;=1)),C23="Ausgleich"),H23-F23,"")</f>
        <v/>
      </c>
      <c r="K23" s="91" t="str">
        <f>IF(AND(B23=Ref!$A$8,SUM(I19:I23)&lt;SUM(J19:J23)),"-","")</f>
        <v/>
      </c>
      <c r="L23" s="92" t="str">
        <f>IF(B23=Ref!$A$8,ABS(SUM(I19:I23)-SUM(J19:J23)),"")</f>
        <v/>
      </c>
      <c r="N23" s="183"/>
    </row>
    <row r="24" spans="1:14" ht="17.399999999999999" customHeight="1" x14ac:dyDescent="0.55000000000000004">
      <c r="A24" s="86">
        <v>6</v>
      </c>
      <c r="B24" s="85" t="str">
        <f t="shared" si="1"/>
        <v>Samstag</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 t="shared" si="0"/>
        <v>0</v>
      </c>
      <c r="I24" s="89" t="str">
        <f t="array" ref="I24">IF(AND(F24&gt;H24,OR(AND(OR($B24&lt;&gt;Ref!$A$7,$H$55&gt;0),OR($B24&lt;&gt;Ref!$A$8,$H$56&gt;0)),COUNT(SEARCH(Sonderarbeit,$N24))&gt;=1),ISNONTEXT(C24),C24&lt;&gt;""),F24-H24,"")</f>
        <v/>
      </c>
      <c r="J24" s="90" t="str">
        <f t="array" ref="J24">IF(OR(AND(F24&lt;H24,OR(AND(OR($B24&lt;&gt;Ref!$A$7,$H$55&gt;0),OR($B24&lt;&gt;Ref!$A$8,$H$56&gt;0)),COUNT(SEARCH(Sonderarbeit,$N24))&gt;=1)),C24="Ausgleich"),H24-F24,"")</f>
        <v/>
      </c>
      <c r="K24" s="91" t="str">
        <f>IF(AND(B24=Ref!$A$8,SUM(I19:I24)&lt;SUM(J19:J24)),"-","")</f>
        <v/>
      </c>
      <c r="L24" s="92" t="str">
        <f>IF(B24=Ref!$A$8,ABS(SUM(I19:I24)-SUM(J19:J24)),"")</f>
        <v/>
      </c>
      <c r="N24" s="183"/>
    </row>
    <row r="25" spans="1:14" ht="17.399999999999999" customHeight="1" x14ac:dyDescent="0.55000000000000004">
      <c r="A25" s="94">
        <v>7</v>
      </c>
      <c r="B25" s="85" t="str">
        <f t="shared" si="1"/>
        <v>Sonntag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si="0"/>
        <v>0</v>
      </c>
      <c r="I25" s="89" t="str">
        <f t="array" ref="I25">IF(AND(F25&gt;H25,OR(AND(OR($B25&lt;&gt;Ref!$A$7,$H$55&gt;0),OR($B25&lt;&gt;Ref!$A$8,$H$56&gt;0)),COUNT(SEARCH(Sonderarbeit,$N25))&gt;=1),ISNONTEXT(C25),C25&lt;&gt;""),F25-H25,"")</f>
        <v/>
      </c>
      <c r="J25" s="90" t="str">
        <f t="array" ref="J25">IF(OR(AND(F25&lt;H25,OR(AND(OR($B25&lt;&gt;Ref!$A$7,$H$55&gt;0),OR($B25&lt;&gt;Ref!$A$8,$H$56&gt;0)),COUNT(SEARCH(Sonderarbeit,$N25))&gt;=1)),C25="Ausgleich"),H25-F25,"")</f>
        <v/>
      </c>
      <c r="K25" s="91" t="str">
        <f>IF(AND(B25=Ref!$A$8,SUM(I19:I25)&lt;SUM(J19:J25)),"-","")</f>
        <v/>
      </c>
      <c r="L25" s="92">
        <f>IF(B25=Ref!$A$8,ABS(SUM(I19:I25)-SUM(J19:J25)),"")</f>
        <v>2.083333333333337E-2</v>
      </c>
    </row>
    <row r="26" spans="1:14" ht="17.399999999999999" customHeight="1" x14ac:dyDescent="0.55000000000000004">
      <c r="A26" s="94">
        <v>8</v>
      </c>
      <c r="B26" s="85" t="str">
        <f t="shared" si="1"/>
        <v>Montag</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0"/>
        <v>0.33333333333333331</v>
      </c>
      <c r="I26" s="89" t="str">
        <f t="array" ref="I26">IF(AND(F26&gt;H26,OR(AND(OR($B26&lt;&gt;Ref!$A$7,$H$55&gt;0),OR($B26&lt;&gt;Ref!$A$8,$H$56&gt;0)),COUNT(SEARCH(Sonderarbeit,$N26))&gt;=1),ISNONTEXT(C26),C26&lt;&gt;""),F26-H26,"")</f>
        <v/>
      </c>
      <c r="J26" s="90" t="str">
        <f t="array" ref="J26">IF(OR(AND(F26&lt;H26,OR(AND(OR($B26&lt;&gt;Ref!$A$7,$H$55&gt;0),OR($B26&lt;&gt;Ref!$A$8,$H$56&gt;0)),COUNT(SEARCH(Sonderarbeit,$N26))&gt;=1)),C26="Ausgleich"),H26-F26,"")</f>
        <v/>
      </c>
      <c r="K26" s="91" t="str">
        <f>IF(AND(B26=Ref!$A$8,SUM(I20:I26)&lt;SUM(J20:J26)),"-","")</f>
        <v/>
      </c>
      <c r="L26" s="92" t="str">
        <f>IF(B26=Ref!$A$8,ABS(SUM(I20:I26)-SUM(J20:J26)),"")</f>
        <v/>
      </c>
      <c r="N26" s="183"/>
    </row>
    <row r="27" spans="1:14" ht="17.399999999999999" customHeight="1" x14ac:dyDescent="0.55000000000000004">
      <c r="A27" s="86">
        <v>9</v>
      </c>
      <c r="B27" s="85" t="str">
        <f t="shared" si="1"/>
        <v>Dienstag</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0"/>
        <v>0.33333333333333331</v>
      </c>
      <c r="I27" s="89" t="str">
        <f t="array" ref="I27">IF(AND(F27&gt;H27,OR(AND(OR($B27&lt;&gt;Ref!$A$7,$H$55&gt;0),OR($B27&lt;&gt;Ref!$A$8,$H$56&gt;0)),COUNT(SEARCH(Sonderarbeit,$N27))&gt;=1),ISNONTEXT(C27),C27&lt;&gt;""),F27-H27,"")</f>
        <v/>
      </c>
      <c r="J27" s="90" t="str">
        <f t="array" ref="J27">IF(OR(AND(F27&lt;H27,OR(AND(OR($B27&lt;&gt;Ref!$A$7,$H$55&gt;0),OR($B27&lt;&gt;Ref!$A$8,$H$56&gt;0)),COUNT(SEARCH(Sonderarbeit,$N27))&gt;=1)),C27="Ausgleich"),H27-F27,"")</f>
        <v/>
      </c>
      <c r="K27" s="91" t="str">
        <f>IF(AND(B27=Ref!$A$8,SUM(I21:I27)&lt;SUM(J21:J27)),"-","")</f>
        <v/>
      </c>
      <c r="L27" s="92" t="str">
        <f>IF(B27=Ref!$A$8,ABS(SUM(I21:I27)-SUM(J21:J27)),"")</f>
        <v/>
      </c>
    </row>
    <row r="28" spans="1:14" ht="17.399999999999999" customHeight="1" x14ac:dyDescent="0.55000000000000004">
      <c r="A28" s="86">
        <v>10</v>
      </c>
      <c r="B28" s="85" t="str">
        <f t="shared" si="1"/>
        <v>Mittwoch</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0"/>
        <v>0.33333333333333331</v>
      </c>
      <c r="I28" s="89" t="str">
        <f t="array" ref="I28">IF(AND(F28&gt;H28,OR(AND(OR($B28&lt;&gt;Ref!$A$7,$H$55&gt;0),OR($B28&lt;&gt;Ref!$A$8,$H$56&gt;0)),COUNT(SEARCH(Sonderarbeit,$N28))&gt;=1),ISNONTEXT(C28),C28&lt;&gt;""),F28-H28,"")</f>
        <v/>
      </c>
      <c r="J28" s="90" t="str">
        <f t="array" ref="J28">IF(OR(AND(F28&lt;H28,OR(AND(OR($B28&lt;&gt;Ref!$A$7,$H$55&gt;0),OR($B28&lt;&gt;Ref!$A$8,$H$56&gt;0)),COUNT(SEARCH(Sonderarbeit,$N28))&gt;=1)),C28="Ausgleich"),H28-F28,"")</f>
        <v/>
      </c>
      <c r="K28" s="91" t="str">
        <f>IF(AND(B28=Ref!$A$8,SUM(I22:I28)&lt;SUM(J22:J28)),"-","")</f>
        <v/>
      </c>
      <c r="L28" s="92" t="str">
        <f>IF(B28=Ref!$A$8,ABS(SUM(I22:I28)-SUM(J22:J28)),"")</f>
        <v/>
      </c>
    </row>
    <row r="29" spans="1:14" ht="17.399999999999999" customHeight="1" x14ac:dyDescent="0.55000000000000004">
      <c r="A29" s="94">
        <v>11</v>
      </c>
      <c r="B29" s="85" t="str">
        <f t="shared" si="1"/>
        <v>Donnerstag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0"/>
        <v>0.33333333333333331</v>
      </c>
      <c r="I29" s="89" t="str">
        <f t="array" ref="I29">IF(AND(F29&gt;H29,OR(AND(OR($B29&lt;&gt;Ref!$A$7,$H$55&gt;0),OR($B29&lt;&gt;Ref!$A$8,$H$56&gt;0)),COUNT(SEARCH(Sonderarbeit,$N29))&gt;=1),ISNONTEXT(C29),C29&lt;&gt;""),F29-H29,"")</f>
        <v/>
      </c>
      <c r="J29" s="90" t="str">
        <f t="array" ref="J29">IF(OR(AND(F29&lt;H29,OR(AND(OR($B29&lt;&gt;Ref!$A$7,$H$55&gt;0),OR($B29&lt;&gt;Ref!$A$8,$H$56&gt;0)),COUNT(SEARCH(Sonderarbeit,$N29))&gt;=1)),C29="Ausgleich"),H29-F29,"")</f>
        <v/>
      </c>
      <c r="K29" s="91" t="str">
        <f>IF(AND(B29=Ref!$A$8,SUM(I23:I29)&lt;SUM(J23:J29)),"-","")</f>
        <v/>
      </c>
      <c r="L29" s="92" t="str">
        <f>IF(B29=Ref!$A$8,ABS(SUM(I23:I29)-SUM(J23:J29)),"")</f>
        <v/>
      </c>
      <c r="N29" s="183"/>
    </row>
    <row r="30" spans="1:14" ht="17.399999999999999" customHeight="1" x14ac:dyDescent="0.55000000000000004">
      <c r="A30" s="94">
        <v>12</v>
      </c>
      <c r="B30" s="85" t="str">
        <f t="shared" si="1"/>
        <v>Freitag</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0"/>
        <v>0.3125</v>
      </c>
      <c r="I30" s="89">
        <f t="array" ref="I30">IF(AND(F30&gt;H30,OR(AND(OR($B30&lt;&gt;Ref!$A$7,$H$55&gt;0),OR($B30&lt;&gt;Ref!$A$8,$H$56&gt;0)),COUNT(SEARCH(Sonderarbeit,$N30))&gt;=1),ISNONTEXT(C30),C30&lt;&gt;""),F30-H30,"")</f>
        <v>2.083333333333337E-2</v>
      </c>
      <c r="J30" s="90" t="str">
        <f t="array" ref="J30">IF(OR(AND(F30&lt;H30,OR(AND(OR($B30&lt;&gt;Ref!$A$7,$H$55&gt;0),OR($B30&lt;&gt;Ref!$A$8,$H$56&gt;0)),COUNT(SEARCH(Sonderarbeit,$N30))&gt;=1)),C30="Ausgleich"),H30-F30,"")</f>
        <v/>
      </c>
      <c r="K30" s="91" t="str">
        <f>IF(AND(B30=Ref!$A$8,SUM(I24:I30)&lt;SUM(J24:J30)),"-","")</f>
        <v/>
      </c>
      <c r="L30" s="92" t="str">
        <f>IF(B30=Ref!$A$8,ABS(SUM(I24:I30)-SUM(J24:J30)),"")</f>
        <v/>
      </c>
      <c r="N30" s="181" t="s">
        <v>135</v>
      </c>
    </row>
    <row r="31" spans="1:14" ht="17.399999999999999" customHeight="1" x14ac:dyDescent="0.55000000000000004">
      <c r="A31" s="94">
        <v>13</v>
      </c>
      <c r="B31" s="85" t="str">
        <f t="shared" si="1"/>
        <v>Samstag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0"/>
        <v>0</v>
      </c>
      <c r="I31" s="89" t="str">
        <f t="array" ref="I31">IF(AND(F31&gt;H31,OR(AND(OR($B31&lt;&gt;Ref!$A$7,$H$55&gt;0),OR($B31&lt;&gt;Ref!$A$8,$H$56&gt;0)),COUNT(SEARCH(Sonderarbeit,$N31))&gt;=1),ISNONTEXT(C31),C31&lt;&gt;""),F31-H31,"")</f>
        <v/>
      </c>
      <c r="J31" s="90" t="str">
        <f t="array" ref="J31">IF(OR(AND(F31&lt;H31,OR(AND(OR($B31&lt;&gt;Ref!$A$7,$H$55&gt;0),OR($B31&lt;&gt;Ref!$A$8,$H$56&gt;0)),COUNT(SEARCH(Sonderarbeit,$N31))&gt;=1)),C31="Ausgleich"),H31-F31,"")</f>
        <v/>
      </c>
      <c r="K31" s="91" t="str">
        <f>IF(AND(B31=Ref!$A$8,SUM(I25:I31)&lt;SUM(J25:J31)),"-","")</f>
        <v/>
      </c>
      <c r="L31" s="92" t="str">
        <f>IF(B31=Ref!$A$8,ABS(SUM(I25:I31)-SUM(J25:J31)),"")</f>
        <v/>
      </c>
      <c r="N31" s="183"/>
    </row>
    <row r="32" spans="1:14" ht="17.399999999999999" customHeight="1" x14ac:dyDescent="0.55000000000000004">
      <c r="A32" s="94">
        <v>14</v>
      </c>
      <c r="B32" s="85" t="str">
        <f t="shared" si="1"/>
        <v>Sonntag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0"/>
        <v>0</v>
      </c>
      <c r="I32" s="89" t="str">
        <f t="array" ref="I32">IF(AND(F32&gt;H32,OR(AND(OR($B32&lt;&gt;Ref!$A$7,$H$55&gt;0),OR($B32&lt;&gt;Ref!$A$8,$H$56&gt;0)),COUNT(SEARCH(Sonderarbeit,$N32))&gt;=1),ISNONTEXT(C32),C32&lt;&gt;""),F32-H32,"")</f>
        <v/>
      </c>
      <c r="J32" s="90" t="str">
        <f t="array" ref="J32">IF(OR(AND(F32&lt;H32,OR(AND(OR($B32&lt;&gt;Ref!$A$7,$H$55&gt;0),OR($B32&lt;&gt;Ref!$A$8,$H$56&gt;0)),COUNT(SEARCH(Sonderarbeit,$N32))&gt;=1)),C32="Ausgleich"),H32-F32,"")</f>
        <v/>
      </c>
      <c r="K32" s="91" t="str">
        <f>IF(AND(B32=Ref!$A$8,SUM(I26:I32)&lt;SUM(J26:J32)),"-","")</f>
        <v/>
      </c>
      <c r="L32" s="92">
        <f>IF(B32=Ref!$A$8,ABS(SUM(I26:I32)-SUM(J26:J32)),"")</f>
        <v>2.083333333333337E-2</v>
      </c>
      <c r="N32" s="183"/>
    </row>
    <row r="33" spans="1:14" ht="17.399999999999999" customHeight="1" x14ac:dyDescent="0.55000000000000004">
      <c r="A33" s="86">
        <v>15</v>
      </c>
      <c r="B33" s="85" t="str">
        <f t="shared" si="1"/>
        <v>Montag</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0"/>
        <v>0.33333333333333331</v>
      </c>
      <c r="I33" s="89" t="str">
        <f t="array" ref="I33">IF(AND(F33&gt;H33,OR(AND(OR($B33&lt;&gt;Ref!$A$7,$H$55&gt;0),OR($B33&lt;&gt;Ref!$A$8,$H$56&gt;0)),COUNT(SEARCH(Sonderarbeit,$N33))&gt;=1),ISNONTEXT(C33),C33&lt;&gt;""),F33-H33,"")</f>
        <v/>
      </c>
      <c r="J33" s="90" t="str">
        <f t="array" ref="J33">IF(OR(AND(F33&lt;H33,OR(AND(OR($B33&lt;&gt;Ref!$A$7,$H$55&gt;0),OR($B33&lt;&gt;Ref!$A$8,$H$56&gt;0)),COUNT(SEARCH(Sonderarbeit,$N33))&gt;=1)),C33="Ausgleich"),H33-F33,"")</f>
        <v/>
      </c>
      <c r="K33" s="91" t="str">
        <f>IF(AND(B33=Ref!$A$8,SUM(I27:I33)&lt;SUM(J27:J33)),"-","")</f>
        <v/>
      </c>
      <c r="L33" s="92" t="str">
        <f>IF(B33=Ref!$A$8,ABS(SUM(I27:I33)-SUM(J27:J33)),"")</f>
        <v/>
      </c>
      <c r="N33" s="183"/>
    </row>
    <row r="34" spans="1:14" ht="17.399999999999999" customHeight="1" x14ac:dyDescent="0.55000000000000004">
      <c r="A34" s="86">
        <v>16</v>
      </c>
      <c r="B34" s="85" t="str">
        <f t="shared" si="1"/>
        <v>Dienstag</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0"/>
        <v>0.33333333333333331</v>
      </c>
      <c r="I34" s="89" t="str">
        <f t="array" ref="I34">IF(AND(F34&gt;H34,OR(AND(OR($B34&lt;&gt;Ref!$A$7,$H$55&gt;0),OR($B34&lt;&gt;Ref!$A$8,$H$56&gt;0)),COUNT(SEARCH(Sonderarbeit,$N34))&gt;=1),ISNONTEXT(C34),C34&lt;&gt;""),F34-H34,"")</f>
        <v/>
      </c>
      <c r="J34" s="90" t="str">
        <f t="array" ref="J34">IF(OR(AND(F34&lt;H34,OR(AND(OR($B34&lt;&gt;Ref!$A$7,$H$55&gt;0),OR($B34&lt;&gt;Ref!$A$8,$H$56&gt;0)),COUNT(SEARCH(Sonderarbeit,$N34))&gt;=1)),C34="Ausgleich"),H34-F34,"")</f>
        <v/>
      </c>
      <c r="K34" s="91" t="str">
        <f>IF(AND(B34=Ref!$A$8,SUM(I28:I34)&lt;SUM(J28:J34)),"-","")</f>
        <v/>
      </c>
      <c r="L34" s="92" t="str">
        <f>IF(B34=Ref!$A$8,ABS(SUM(I28:I34)-SUM(J28:J34)),"")</f>
        <v/>
      </c>
      <c r="N34" s="183"/>
    </row>
    <row r="35" spans="1:14" ht="17.399999999999999" customHeight="1" x14ac:dyDescent="0.55000000000000004">
      <c r="A35" s="86">
        <v>17</v>
      </c>
      <c r="B35" s="85" t="str">
        <f t="shared" si="1"/>
        <v>Mittwoch</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0"/>
        <v>0.33333333333333331</v>
      </c>
      <c r="I35" s="89" t="str">
        <f t="array" ref="I35">IF(AND(F35&gt;H35,OR(AND(OR($B35&lt;&gt;Ref!$A$7,$H$55&gt;0),OR($B35&lt;&gt;Ref!$A$8,$H$56&gt;0)),COUNT(SEARCH(Sonderarbeit,$N35))&gt;=1),ISNONTEXT(C35),C35&lt;&gt;""),F35-H35,"")</f>
        <v/>
      </c>
      <c r="J35" s="90" t="str">
        <f t="array" ref="J35">IF(OR(AND(F35&lt;H35,OR(AND(OR($B35&lt;&gt;Ref!$A$7,$H$55&gt;0),OR($B35&lt;&gt;Ref!$A$8,$H$56&gt;0)),COUNT(SEARCH(Sonderarbeit,$N35))&gt;=1)),C35="Ausgleich"),H35-F35,"")</f>
        <v/>
      </c>
      <c r="K35" s="91" t="str">
        <f>IF(AND(B35=Ref!$A$8,SUM(I29:I35)&lt;SUM(J29:J35)),"-","")</f>
        <v/>
      </c>
      <c r="L35" s="92" t="str">
        <f>IF(B35=Ref!$A$8,ABS(SUM(I29:I35)-SUM(J29:J35)),"")</f>
        <v/>
      </c>
      <c r="N35" s="183"/>
    </row>
    <row r="36" spans="1:14" ht="17.399999999999999" customHeight="1" x14ac:dyDescent="0.55000000000000004">
      <c r="A36" s="86">
        <v>18</v>
      </c>
      <c r="B36" s="85" t="str">
        <f t="shared" si="1"/>
        <v>Donnerstag</v>
      </c>
      <c r="C36" s="87">
        <v>0.35416666666666669</v>
      </c>
      <c r="D36" s="213">
        <f t="array" ref="D36">IF(AND(COUNT(SEARCH(Sonderarbeit,$N36,1))&gt;=1,$B36=Ref!$A$7),Ref!$K$1,Ref!$K$2)</f>
        <v>0.70833333333333337</v>
      </c>
      <c r="E36" s="213">
        <f t="array" ref="E36">IF(AND(COUNT(SEARCH(Sonderarbeit,$N36))&gt;=1,$B36=Ref!$A$7),,Ref!$K$3)</f>
        <v>2.0833333333333332E-2</v>
      </c>
      <c r="F36" s="270">
        <f t="shared" si="2"/>
        <v>0.33333333333333337</v>
      </c>
      <c r="G36" s="271"/>
      <c r="H36" s="88">
        <f>IF(AND(ISTEXT(C36),ISERR(SEARCH("ausgleich",C36,1))),,INDEX(H$50:H$57,WEEKDAY(DATE(J$11,MONTH(I$11),A36),2),1,1))</f>
        <v>0.33333333333333331</v>
      </c>
      <c r="I36" s="89" t="str">
        <f t="array" ref="I36">IF(AND(F36&gt;H36,OR(AND(OR($B36&lt;&gt;Ref!$A$7,$H$55&gt;0),OR($B36&lt;&gt;Ref!$A$8,$H$56&gt;0)),COUNT(SEARCH(Sonderarbeit,$N36))&gt;=1),ISNONTEXT(C36),C36&lt;&gt;""),F36-H36,"")</f>
        <v/>
      </c>
      <c r="J36" s="90" t="str">
        <f t="array" ref="J36">IF(OR(AND(F36&lt;H36,OR(AND(OR($B36&lt;&gt;Ref!$A$7,$H$55&gt;0),OR($B36&lt;&gt;Ref!$A$8,$H$56&gt;0)),COUNT(SEARCH(Sonderarbeit,$N36))&gt;=1)),C36="Ausgleich"),H36-F36,"")</f>
        <v/>
      </c>
      <c r="K36" s="91" t="str">
        <f>IF(AND(B36=Ref!$A$8,SUM(I30:I36)&lt;SUM(J30:J36)),"-","")</f>
        <v/>
      </c>
      <c r="L36" s="92" t="str">
        <f>IF(B36=Ref!$A$8,ABS(SUM(I30:I36)-SUM(J30:J36)),"")</f>
        <v/>
      </c>
      <c r="N36" s="183"/>
    </row>
    <row r="37" spans="1:14" ht="17.399999999999999" customHeight="1" x14ac:dyDescent="0.55000000000000004">
      <c r="A37" s="86">
        <v>19</v>
      </c>
      <c r="B37" s="85" t="str">
        <f t="shared" si="1"/>
        <v>Freitag</v>
      </c>
      <c r="C37" s="87">
        <v>0.35416666666666669</v>
      </c>
      <c r="D37" s="213">
        <f t="array" ref="D37">IF(AND(COUNT(SEARCH(Sonderarbeit,$N37,1))&gt;=1,$B37=Ref!$A$7),Ref!$K$1,Ref!$K$2)</f>
        <v>0.70833333333333337</v>
      </c>
      <c r="E37" s="213">
        <f t="array" ref="E37">IF(AND(COUNT(SEARCH(Sonderarbeit,$N37))&gt;=1,$B37=Ref!$A$7),,Ref!$K$3)</f>
        <v>2.0833333333333332E-2</v>
      </c>
      <c r="F37" s="270">
        <f t="shared" si="2"/>
        <v>0.33333333333333337</v>
      </c>
      <c r="G37" s="271"/>
      <c r="H37" s="88">
        <f t="shared" ref="H37:H48" si="3">IF(AND(ISTEXT(C37),ISERR(SEARCH("ausgleich",C37,1))),,INDEX(H$50:H$57,WEEKDAY(DATE(J$11,MONTH(I$11),A37),2),1,1))</f>
        <v>0.3125</v>
      </c>
      <c r="I37" s="89">
        <f t="array" ref="I37">IF(AND(F37&gt;H37,OR(AND(OR($B37&lt;&gt;Ref!$A$7,$H$55&gt;0),OR($B37&lt;&gt;Ref!$A$8,$H$56&gt;0)),COUNT(SEARCH(Sonderarbeit,$N37))&gt;=1),ISNONTEXT(C37),C37&lt;&gt;""),F37-H37,"")</f>
        <v>2.083333333333337E-2</v>
      </c>
      <c r="J37" s="90" t="str">
        <f t="array" ref="J37">IF(OR(AND(F37&lt;H37,OR(AND(OR($B37&lt;&gt;Ref!$A$7,$H$55&gt;0),OR($B37&lt;&gt;Ref!$A$8,$H$56&gt;0)),COUNT(SEARCH(Sonderarbeit,$N37))&gt;=1)),C37="Ausgleich"),H37-F37,"")</f>
        <v/>
      </c>
      <c r="K37" s="91" t="str">
        <f>IF(AND(B37=Ref!$A$8,SUM(I31:I37)&lt;SUM(J31:J37)),"-","")</f>
        <v/>
      </c>
      <c r="L37" s="92" t="str">
        <f>IF(B37=Ref!$A$8,ABS(SUM(I31:I37)-SUM(J31:J37)),"")</f>
        <v/>
      </c>
      <c r="N37" s="183"/>
    </row>
    <row r="38" spans="1:14" ht="17.399999999999999" customHeight="1" x14ac:dyDescent="0.55000000000000004">
      <c r="A38" s="86">
        <v>20</v>
      </c>
      <c r="B38" s="85" t="str">
        <f t="shared" si="1"/>
        <v>Samstag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v>
      </c>
      <c r="I38" s="89" t="str">
        <f t="array" ref="I38">IF(AND(F38&gt;H38,OR(AND(OR($B38&lt;&gt;Ref!$A$7,$H$55&gt;0),OR($B38&lt;&gt;Ref!$A$8,$H$56&gt;0)),COUNT(SEARCH(Sonderarbeit,$N38))&gt;=1),ISNONTEXT(C38),C38&lt;&gt;""),F38-H38,"")</f>
        <v/>
      </c>
      <c r="J38" s="90" t="str">
        <f t="array" ref="J38">IF(OR(AND(F38&lt;H38,OR(AND(OR($B38&lt;&gt;Ref!$A$7,$H$55&gt;0),OR($B38&lt;&gt;Ref!$A$8,$H$56&gt;0)),COUNT(SEARCH(Sonderarbeit,$N38))&gt;=1)),C38="Ausgleich"),H38-F38,"")</f>
        <v/>
      </c>
      <c r="K38" s="91" t="str">
        <f>IF(AND(B38=Ref!$A$8,SUM(I32:I38)&lt;SUM(J32:J38)),"-","")</f>
        <v/>
      </c>
      <c r="L38" s="92" t="str">
        <f>IF(B38=Ref!$A$8,ABS(SUM(I32:I38)-SUM(J32:J38)),"")</f>
        <v/>
      </c>
      <c r="N38" s="183"/>
    </row>
    <row r="39" spans="1:14" ht="17.399999999999999" customHeight="1" x14ac:dyDescent="0.55000000000000004">
      <c r="A39" s="86">
        <v>21</v>
      </c>
      <c r="B39" s="85" t="str">
        <f t="shared" si="1"/>
        <v>Sonntag</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3"/>
        <v>0</v>
      </c>
      <c r="I39" s="89" t="str">
        <f t="array" ref="I39">IF(AND(F39&gt;H39,OR(AND(OR($B39&lt;&gt;Ref!$A$7,$H$55&gt;0),OR($B39&lt;&gt;Ref!$A$8,$H$56&gt;0)),COUNT(SEARCH(Sonderarbeit,$N39))&gt;=1),ISNONTEXT(C39),C39&lt;&gt;""),F39-H39,"")</f>
        <v/>
      </c>
      <c r="J39" s="90" t="str">
        <f t="array" ref="J39">IF(OR(AND(F39&lt;H39,OR(AND(OR($B39&lt;&gt;Ref!$A$7,$H$55&gt;0),OR($B39&lt;&gt;Ref!$A$8,$H$56&gt;0)),COUNT(SEARCH(Sonderarbeit,$N39))&gt;=1)),C39="Ausgleich"),H39-F39,"")</f>
        <v/>
      </c>
      <c r="K39" s="91" t="str">
        <f>IF(AND(B39=Ref!$A$8,SUM(I33:I39)&lt;SUM(J33:J39)),"-","")</f>
        <v/>
      </c>
      <c r="L39" s="92">
        <f>IF(B39=Ref!$A$8,ABS(SUM(I33:I39)-SUM(J33:J39)),"")</f>
        <v>2.083333333333337E-2</v>
      </c>
      <c r="N39" s="183"/>
    </row>
    <row r="40" spans="1:14" ht="17.399999999999999" customHeight="1" x14ac:dyDescent="0.55000000000000004">
      <c r="A40" s="86">
        <v>22</v>
      </c>
      <c r="B40" s="85" t="str">
        <f t="shared" si="1"/>
        <v>Montag</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0.33333333333333331</v>
      </c>
      <c r="I40" s="89" t="str">
        <f t="array" ref="I40">IF(AND(F40&gt;H40,OR(AND(OR($B40&lt;&gt;Ref!$A$7,$H$55&gt;0),OR($B40&lt;&gt;Ref!$A$8,$H$56&gt;0)),COUNT(SEARCH(Sonderarbeit,$N40))&gt;=1),ISNONTEXT(C40),C40&lt;&gt;""),F40-H40,"")</f>
        <v/>
      </c>
      <c r="J40" s="90" t="str">
        <f t="array" ref="J40">IF(OR(AND(F40&lt;H40,OR(AND(OR($B40&lt;&gt;Ref!$A$7,$H$55&gt;0),OR($B40&lt;&gt;Ref!$A$8,$H$56&gt;0)),COUNT(SEARCH(Sonderarbeit,$N40))&gt;=1)),C40="Ausgleich"),H40-F40,"")</f>
        <v/>
      </c>
      <c r="K40" s="91" t="str">
        <f>IF(AND(B40=Ref!$A$8,SUM(I34:I40)&lt;SUM(J34:J40)),"-","")</f>
        <v/>
      </c>
      <c r="L40" s="92" t="str">
        <f>IF(B40=Ref!$A$8,ABS(SUM(I34:I40)-SUM(J34:J40)),"")</f>
        <v/>
      </c>
      <c r="N40" s="183"/>
    </row>
    <row r="41" spans="1:14" ht="17.399999999999999" customHeight="1" x14ac:dyDescent="0.55000000000000004">
      <c r="A41" s="86">
        <v>23</v>
      </c>
      <c r="B41" s="85" t="str">
        <f t="shared" si="1"/>
        <v>Dienstag</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0.33333333333333331</v>
      </c>
      <c r="I41" s="89" t="str">
        <f t="array" ref="I41">IF(AND(F41&gt;H41,OR(AND(OR($B41&lt;&gt;Ref!$A$7,$H$55&gt;0),OR($B41&lt;&gt;Ref!$A$8,$H$56&gt;0)),COUNT(SEARCH(Sonderarbeit,$N41))&gt;=1),ISNONTEXT(C41),C41&lt;&gt;""),F41-H41,"")</f>
        <v/>
      </c>
      <c r="J41" s="90" t="str">
        <f t="array" ref="J41">IF(OR(AND(F41&lt;H41,OR(AND(OR($B41&lt;&gt;Ref!$A$7,$H$55&gt;0),OR($B41&lt;&gt;Ref!$A$8,$H$56&gt;0)),COUNT(SEARCH(Sonderarbeit,$N41))&gt;=1)),C41="Ausgleich"),H41-F41,"")</f>
        <v/>
      </c>
      <c r="K41" s="91" t="str">
        <f>IF(AND(B41=Ref!$A$8,SUM(I35:I41)&lt;SUM(J35:J41)),"-","")</f>
        <v/>
      </c>
      <c r="L41" s="92" t="str">
        <f>IF(B41=Ref!$A$8,ABS(SUM(I35:I41)-SUM(J35:J41)),"")</f>
        <v/>
      </c>
      <c r="N41" s="183"/>
    </row>
    <row r="42" spans="1:14" ht="17.399999999999999" customHeight="1" x14ac:dyDescent="0.55000000000000004">
      <c r="A42" s="86">
        <v>24</v>
      </c>
      <c r="B42" s="85" t="str">
        <f t="shared" si="1"/>
        <v>Mittwoch</v>
      </c>
      <c r="C42" s="87">
        <v>0.35416666666666669</v>
      </c>
      <c r="D42" s="213">
        <f t="array" ref="D42">IF(AND(COUNT(SEARCH(Sonderarbeit,$N42,1))&gt;=1,$B42=Ref!$A$7),Ref!$K$1,Ref!$K$2)</f>
        <v>0.70833333333333337</v>
      </c>
      <c r="E42" s="213">
        <f t="array" ref="E42">IF(AND(COUNT(SEARCH(Sonderarbeit,$N42))&gt;=1,$B42=Ref!$A$7),,Ref!$K$3)</f>
        <v>2.0833333333333332E-2</v>
      </c>
      <c r="F42" s="270">
        <f t="shared" si="2"/>
        <v>0.33333333333333337</v>
      </c>
      <c r="G42" s="271"/>
      <c r="H42" s="88">
        <f t="shared" si="3"/>
        <v>0.33333333333333331</v>
      </c>
      <c r="I42" s="89" t="str">
        <f t="array" ref="I42">IF(AND(F42&gt;H42,OR(AND(OR($B42&lt;&gt;Ref!$A$7,$H$55&gt;0),OR($B42&lt;&gt;Ref!$A$8,$H$56&gt;0)),COUNT(SEARCH(Sonderarbeit,$N42))&gt;=1),ISNONTEXT(C42),C42&lt;&gt;""),F42-H42,"")</f>
        <v/>
      </c>
      <c r="J42" s="90" t="str">
        <f t="array" ref="J42">IF(OR(AND(F42&lt;H42,OR(AND(OR($B42&lt;&gt;Ref!$A$7,$H$55&gt;0),OR($B42&lt;&gt;Ref!$A$8,$H$56&gt;0)),COUNT(SEARCH(Sonderarbeit,$N42))&gt;=1)),C42="Ausgleich"),H42-F42,"")</f>
        <v/>
      </c>
      <c r="K42" s="91" t="str">
        <f>IF(AND(B42=Ref!$A$8,SUM(I36:I42)&lt;SUM(J36:J42)),"-","")</f>
        <v/>
      </c>
      <c r="L42" s="92" t="str">
        <f>IF(B42=Ref!$A$8,ABS(SUM(I36:I42)-SUM(J36:J42)),"")</f>
        <v/>
      </c>
      <c r="N42" s="183"/>
    </row>
    <row r="43" spans="1:14" ht="17.399999999999999" customHeight="1" x14ac:dyDescent="0.55000000000000004">
      <c r="A43" s="86">
        <v>25</v>
      </c>
      <c r="B43" s="85" t="str">
        <f t="shared" si="1"/>
        <v>Donnerstag</v>
      </c>
      <c r="C43" s="87">
        <v>0.35416666666666669</v>
      </c>
      <c r="D43" s="213">
        <f t="array" ref="D43">IF(AND(COUNT(SEARCH(Sonderarbeit,$N43,1))&gt;=1,$B43=Ref!$A$7),Ref!$K$1,Ref!$K$2)</f>
        <v>0.70833333333333337</v>
      </c>
      <c r="E43" s="213">
        <f t="array" ref="E43">IF(AND(COUNT(SEARCH(Sonderarbeit,$N43))&gt;=1,$B43=Ref!$A$7),,Ref!$K$3)</f>
        <v>2.0833333333333332E-2</v>
      </c>
      <c r="F43" s="270">
        <f t="shared" si="2"/>
        <v>0.33333333333333337</v>
      </c>
      <c r="G43" s="271"/>
      <c r="H43" s="88">
        <f t="shared" si="3"/>
        <v>0.33333333333333331</v>
      </c>
      <c r="I43" s="89" t="str">
        <f t="array" ref="I43">IF(AND(F43&gt;H43,OR(AND(OR($B43&lt;&gt;Ref!$A$7,$H$55&gt;0),OR($B43&lt;&gt;Ref!$A$8,$H$56&gt;0)),COUNT(SEARCH(Sonderarbeit,$N43))&gt;=1),ISNONTEXT(C43),C43&lt;&gt;""),F43-H43,"")</f>
        <v/>
      </c>
      <c r="J43" s="90" t="str">
        <f t="array" ref="J43">IF(OR(AND(F43&lt;H43,OR(AND(OR($B43&lt;&gt;Ref!$A$7,$H$55&gt;0),OR($B43&lt;&gt;Ref!$A$8,$H$56&gt;0)),COUNT(SEARCH(Sonderarbeit,$N43))&gt;=1)),C43="Ausgleich"),H43-F43,"")</f>
        <v/>
      </c>
      <c r="K43" s="91" t="str">
        <f>IF(AND(B43=Ref!$A$8,SUM(I37:I43)&lt;SUM(J37:J43)),"-","")</f>
        <v/>
      </c>
      <c r="L43" s="92" t="str">
        <f>IF(B43=Ref!$A$8,ABS(SUM(I37:I43)-SUM(J37:J43)),"")</f>
        <v/>
      </c>
      <c r="N43" s="183"/>
    </row>
    <row r="44" spans="1:14" ht="17.399999999999999" customHeight="1" x14ac:dyDescent="0.55000000000000004">
      <c r="A44" s="86">
        <v>26</v>
      </c>
      <c r="B44" s="85" t="str">
        <f t="shared" si="1"/>
        <v>Freitag</v>
      </c>
      <c r="C44" s="87">
        <v>0.35416666666666669</v>
      </c>
      <c r="D44" s="213">
        <f t="array" ref="D44">IF(AND(COUNT(SEARCH(Sonderarbeit,$N44,1))&gt;=1,$B44=Ref!$A$7),Ref!$K$1,Ref!$K$2)</f>
        <v>0.70833333333333337</v>
      </c>
      <c r="E44" s="213">
        <f t="array" ref="E44">IF(AND(COUNT(SEARCH(Sonderarbeit,$N44))&gt;=1,$B44=Ref!$A$7),,Ref!$K$3)</f>
        <v>2.0833333333333332E-2</v>
      </c>
      <c r="F44" s="270">
        <f t="shared" si="2"/>
        <v>0.33333333333333337</v>
      </c>
      <c r="G44" s="271"/>
      <c r="H44" s="88">
        <f t="shared" si="3"/>
        <v>0.3125</v>
      </c>
      <c r="I44" s="89">
        <f t="array" ref="I44">IF(AND(F44&gt;H44,OR(AND(OR($B44&lt;&gt;Ref!$A$7,$H$55&gt;0),OR($B44&lt;&gt;Ref!$A$8,$H$56&gt;0)),COUNT(SEARCH(Sonderarbeit,$N44))&gt;=1),ISNONTEXT(C44),C44&lt;&gt;""),F44-H44,"")</f>
        <v>2.083333333333337E-2</v>
      </c>
      <c r="J44" s="90" t="str">
        <f t="array" ref="J44">IF(OR(AND(F44&lt;H44,OR(AND(OR($B44&lt;&gt;Ref!$A$7,$H$55&gt;0),OR($B44&lt;&gt;Ref!$A$8,$H$56&gt;0)),COUNT(SEARCH(Sonderarbeit,$N44))&gt;=1)),C44="Ausgleich"),H44-F44,"")</f>
        <v/>
      </c>
      <c r="K44" s="91" t="str">
        <f>IF(AND(B44=Ref!$A$8,SUM(I38:I44)&lt;SUM(J38:J44)),"-","")</f>
        <v/>
      </c>
      <c r="L44" s="92" t="str">
        <f>IF(B44=Ref!$A$8,ABS(SUM(I38:I44)-SUM(J38:J44)),"")</f>
        <v/>
      </c>
      <c r="N44" s="183"/>
    </row>
    <row r="45" spans="1:14" ht="17.399999999999999" customHeight="1" x14ac:dyDescent="0.55000000000000004">
      <c r="A45" s="86">
        <v>27</v>
      </c>
      <c r="B45" s="85" t="str">
        <f t="shared" si="1"/>
        <v>Samstag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v>
      </c>
      <c r="I45" s="89" t="str">
        <f t="array" ref="I45">IF(AND(F45&gt;H45,OR(AND(OR($B45&lt;&gt;Ref!$A$7,$H$55&gt;0),OR($B45&lt;&gt;Ref!$A$8,$H$56&gt;0)),COUNT(SEARCH(Sonderarbeit,$N45))&gt;=1),ISNONTEXT(C45),C45&lt;&gt;""),F45-H45,"")</f>
        <v/>
      </c>
      <c r="J45" s="90" t="str">
        <f t="array" ref="J45">IF(OR(AND(F45&lt;H45,OR(AND(OR($B45&lt;&gt;Ref!$A$7,$H$55&gt;0),OR($B45&lt;&gt;Ref!$A$8,$H$56&gt;0)),COUNT(SEARCH(Sonderarbeit,$N45))&gt;=1)),C45="Ausgleich"),H45-F45,"")</f>
        <v/>
      </c>
      <c r="K45" s="91" t="str">
        <f>IF(AND(B45=Ref!$A$8,SUM(I39:I45)&lt;SUM(J39:J45)),"-","")</f>
        <v/>
      </c>
      <c r="L45" s="92" t="str">
        <f>IF(B45=Ref!$A$8,ABS(SUM(I39:I45)-SUM(J39:J45)),"")</f>
        <v/>
      </c>
      <c r="N45" s="183"/>
    </row>
    <row r="46" spans="1:14" ht="17.399999999999999" customHeight="1" x14ac:dyDescent="0.55000000000000004">
      <c r="A46" s="86">
        <v>28</v>
      </c>
      <c r="B46" s="85" t="str">
        <f t="shared" si="1"/>
        <v>Sonntag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v>
      </c>
      <c r="I46" s="89" t="str">
        <f t="array" ref="I46">IF(AND(F46&gt;H46,OR(AND(OR($B46&lt;&gt;Ref!$A$7,$H$55&gt;0),OR($B46&lt;&gt;Ref!$A$8,$H$56&gt;0)),COUNT(SEARCH(Sonderarbeit,$N46))&gt;=1),ISNONTEXT(C46),C46&lt;&gt;""),F46-H46,"")</f>
        <v/>
      </c>
      <c r="J46" s="90" t="str">
        <f t="array" ref="J46">IF(OR(AND(F46&lt;H46,OR(AND(OR($B46&lt;&gt;Ref!$A$7,$H$55&gt;0),OR($B46&lt;&gt;Ref!$A$8,$H$56&gt;0)),COUNT(SEARCH(Sonderarbeit,$N46))&gt;=1)),C46="Ausgleich"),H46-F46,"")</f>
        <v/>
      </c>
      <c r="K46" s="91" t="str">
        <f>IF(AND(B46=Ref!$A$8,SUM(I40:I46)&lt;SUM(J40:J46)),"-","")</f>
        <v/>
      </c>
      <c r="L46" s="92">
        <f>IF(B46=Ref!$A$8,ABS(SUM(I40:I46)-SUM(J40:J46)),"")</f>
        <v>2.083333333333337E-2</v>
      </c>
      <c r="N46" s="183"/>
    </row>
    <row r="47" spans="1:14" ht="17.399999999999999" customHeight="1" x14ac:dyDescent="0.55000000000000004">
      <c r="A47" s="86">
        <v>29</v>
      </c>
      <c r="B47" s="85" t="str">
        <f t="shared" si="1"/>
        <v>Montag</v>
      </c>
      <c r="C47" s="87">
        <v>0.35416666666666669</v>
      </c>
      <c r="D47" s="213">
        <f t="array" ref="D47">IF(AND(COUNT(SEARCH(Sonderarbeit,$N47,1))&gt;=1,$B47=Ref!$A$7),Ref!$K$1,Ref!$K$2)</f>
        <v>0.70833333333333337</v>
      </c>
      <c r="E47" s="213">
        <f t="array" ref="E47">IF(AND(COUNT(SEARCH(Sonderarbeit,$N47))&gt;=1,$B47=Ref!$A$7),,Ref!$K$3)</f>
        <v>2.0833333333333332E-2</v>
      </c>
      <c r="F47" s="270">
        <f t="shared" si="2"/>
        <v>0.33333333333333337</v>
      </c>
      <c r="G47" s="271"/>
      <c r="H47" s="88">
        <f t="shared" si="3"/>
        <v>0.33333333333333331</v>
      </c>
      <c r="I47" s="89" t="str">
        <f t="array" ref="I47">IF(AND(F47&gt;H47,OR(AND(OR($B47&lt;&gt;Ref!$A$7,$H$55&gt;0),OR($B47&lt;&gt;Ref!$A$8,$H$56&gt;0)),COUNT(SEARCH(Sonderarbeit,$N47))&gt;=1),ISNONTEXT(C47),C47&lt;&gt;""),F47-H47,"")</f>
        <v/>
      </c>
      <c r="J47" s="90" t="str">
        <f t="array" ref="J47">IF(OR(AND(F47&lt;H47,OR(AND(OR($B47&lt;&gt;Ref!$A$7,$H$55&gt;0),OR($B47&lt;&gt;Ref!$A$8,$H$56&gt;0)),COUNT(SEARCH(Sonderarbeit,$N47))&gt;=1)),C47="Ausgleich"),H47-F47,"")</f>
        <v/>
      </c>
      <c r="K47" s="91" t="str">
        <f>IF(AND(B47=Ref!$A$8,SUM(I41:I47)&lt;SUM(J41:J47)),"-","")</f>
        <v/>
      </c>
      <c r="L47" s="92" t="str">
        <f>IF(B47=Ref!$A$8,ABS(SUM(I41:I47)-SUM(J41:J47)),"")</f>
        <v/>
      </c>
      <c r="N47" s="183"/>
    </row>
    <row r="48" spans="1:14" ht="17.399999999999999" customHeight="1" x14ac:dyDescent="0.55000000000000004">
      <c r="A48" s="86">
        <v>30</v>
      </c>
      <c r="B48" s="85" t="str">
        <f t="shared" si="1"/>
        <v>Dienstag</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0.33333333333333331</v>
      </c>
      <c r="I48" s="89" t="str">
        <f t="array" ref="I48">IF(AND(F48&gt;H48,OR(AND(OR($B48&lt;&gt;Ref!$A$7,$H$55&gt;0),OR($B48&lt;&gt;Ref!$A$8,$H$56&gt;0)),COUNT(SEARCH(Sonderarbeit,$N48))&gt;=1),ISNONTEXT(C48),C48&lt;&gt;""),F48-H48,"")</f>
        <v/>
      </c>
      <c r="J48" s="90" t="str">
        <f t="array" ref="J48">IF(OR(AND(F48&lt;H48,OR(AND(OR($B48&lt;&gt;Ref!$A$7,$H$55&gt;0),OR($B48&lt;&gt;Ref!$A$8,$H$56&gt;0)),COUNT(SEARCH(Sonderarbeit,$N48))&gt;=1)),C48="Ausgleich"),H48-F48,"")</f>
        <v/>
      </c>
      <c r="K48" s="95" t="str">
        <f ca="1">IF(SUM(INDIRECT("I"&amp;ROW()-WEEKDAY(DATE(J$11,MONTH(I$11),A48),3)):I48) &lt; SUM(INDIRECT("j"&amp;ROW()-WEEKDAY(DATE(J$11,MONTH(I$11),A48),3)):J48),"-","")</f>
        <v/>
      </c>
      <c r="L48" s="96">
        <f ca="1">ABS(SUM(INDIRECT("I"&amp;ROW()-WEEKDAY(DATE(J$11,MONTH(I$11),A48),3)):I48)-SUM(INDIRECT("j"&amp;ROW()-WEEKDAY(DATE(J$11,MONTH(I$11),A48))):J48))</f>
        <v>0</v>
      </c>
      <c r="N48" s="331" t="s">
        <v>131</v>
      </c>
    </row>
    <row r="49" spans="1:14" s="20" customFormat="1" ht="17.399999999999999" customHeight="1" thickBot="1" x14ac:dyDescent="0.35">
      <c r="A49" s="98" t="str">
        <f>Jan!A50</f>
        <v>Sonstige Zeiten laut beigefügter Aufstellung (s. Anlage):</v>
      </c>
      <c r="B49" s="99"/>
      <c r="C49" s="100"/>
      <c r="D49" s="101"/>
      <c r="E49" s="101"/>
      <c r="F49" s="101"/>
      <c r="G49" s="101"/>
      <c r="H49" s="165"/>
      <c r="I49" s="145">
        <v>0</v>
      </c>
      <c r="J49" s="146">
        <v>0</v>
      </c>
      <c r="K49" s="147"/>
      <c r="L49" s="148"/>
      <c r="M49" s="183"/>
      <c r="N49" s="331"/>
    </row>
    <row r="50" spans="1:14" ht="12.5" customHeight="1" x14ac:dyDescent="0.3">
      <c r="A50" s="326" t="s">
        <v>3</v>
      </c>
      <c r="B50" s="326"/>
      <c r="C50" s="326"/>
      <c r="D50" s="326"/>
      <c r="E50" s="105"/>
      <c r="F50" s="105"/>
      <c r="G50" s="105"/>
      <c r="H50" s="166">
        <f>Aug!H51</f>
        <v>0.33333333333333331</v>
      </c>
      <c r="I50" s="273">
        <f>SUM(I17:I49)</f>
        <v>0.79166666666666807</v>
      </c>
      <c r="J50" s="275">
        <f>SUM(J17:J49)</f>
        <v>0</v>
      </c>
      <c r="K50" s="252" t="str">
        <f ca="1">IF(SUMIF(K19:K48,"",L19:L48)&lt;SUMIF(K19:K48,"-",L19:L48),"-","")</f>
        <v/>
      </c>
      <c r="L50" s="254">
        <f ca="1">ABS(SUMIF(K19:K48,"",L19:L48)-SUMIF(K19:K48,"-",L19:L48))</f>
        <v>8.3333333333333481E-2</v>
      </c>
      <c r="N50" s="331"/>
    </row>
    <row r="51" spans="1:14" ht="13.5" thickBot="1" x14ac:dyDescent="0.35">
      <c r="A51" s="258"/>
      <c r="B51" s="258"/>
      <c r="C51" s="258"/>
      <c r="D51" s="258"/>
      <c r="E51" s="105"/>
      <c r="F51" s="105"/>
      <c r="G51" s="106" t="s">
        <v>12</v>
      </c>
      <c r="H51" s="167">
        <f>Aug!H52</f>
        <v>0.33333333333333331</v>
      </c>
      <c r="I51" s="274"/>
      <c r="J51" s="276"/>
      <c r="K51" s="253"/>
      <c r="L51" s="255"/>
    </row>
    <row r="52" spans="1:14" x14ac:dyDescent="0.3">
      <c r="A52" s="258"/>
      <c r="B52" s="258"/>
      <c r="C52" s="258"/>
      <c r="D52" s="258"/>
      <c r="E52" s="105"/>
      <c r="F52" s="105"/>
      <c r="G52" s="107"/>
      <c r="H52" s="167">
        <f>Aug!H53</f>
        <v>0.33333333333333331</v>
      </c>
      <c r="I52" s="268">
        <f>IF(I50&gt;J50,I50-J50,0)</f>
        <v>0.79166666666666807</v>
      </c>
      <c r="J52" s="266" t="str">
        <f>IF(J50&gt;I50,J50-I50,"")</f>
        <v/>
      </c>
      <c r="K52" s="110"/>
      <c r="L52" s="110"/>
    </row>
    <row r="53" spans="1:14" ht="13.5" thickBot="1" x14ac:dyDescent="0.35">
      <c r="A53" s="265" t="s">
        <v>15</v>
      </c>
      <c r="B53" s="265"/>
      <c r="C53" s="265"/>
      <c r="D53" s="265"/>
      <c r="E53" s="109"/>
      <c r="F53" s="109"/>
      <c r="G53" s="106" t="s">
        <v>13</v>
      </c>
      <c r="H53" s="167">
        <f>Aug!H54</f>
        <v>0.33333333333333331</v>
      </c>
      <c r="I53" s="269"/>
      <c r="J53" s="267"/>
      <c r="K53" s="110"/>
      <c r="L53" s="110"/>
    </row>
    <row r="54" spans="1:14" ht="13.5" thickBot="1" x14ac:dyDescent="0.35">
      <c r="A54" s="257" t="s">
        <v>4</v>
      </c>
      <c r="B54" s="257"/>
      <c r="C54" s="257"/>
      <c r="D54" s="257"/>
      <c r="E54" s="109" t="str">
        <f>IF(E55=" ", " ", "VERFALL  VORJAHRESURLAUB")</f>
        <v xml:space="preserve"> </v>
      </c>
      <c r="F54" s="109"/>
      <c r="G54" s="109"/>
      <c r="H54" s="167">
        <f>Aug!H55</f>
        <v>0.3125</v>
      </c>
      <c r="I54" s="109"/>
      <c r="J54" s="109"/>
      <c r="K54" s="110"/>
      <c r="L54" s="110"/>
    </row>
    <row r="55" spans="1:14" ht="13.25" customHeight="1" x14ac:dyDescent="0.3">
      <c r="A55" s="258"/>
      <c r="B55" s="258"/>
      <c r="C55" s="258"/>
      <c r="D55" s="258"/>
      <c r="E55" s="149" t="str">
        <f>Jan!E56</f>
        <v xml:space="preserve"> </v>
      </c>
      <c r="F55" s="150"/>
      <c r="G55" s="151" t="str">
        <f>IF(E55=" ", " ", IF(Mantelbogen!D26=I11,Mantelbogen!C29,Aug!G58))</f>
        <v xml:space="preserve"> </v>
      </c>
      <c r="H55" s="168">
        <v>0</v>
      </c>
      <c r="I55" s="259" t="s">
        <v>123</v>
      </c>
      <c r="J55" s="260"/>
      <c r="K55" s="110"/>
      <c r="L55" s="110"/>
    </row>
    <row r="56" spans="1:14" ht="13.5" thickBot="1" x14ac:dyDescent="0.35">
      <c r="A56" s="258"/>
      <c r="B56" s="258"/>
      <c r="C56" s="258"/>
      <c r="D56" s="258"/>
      <c r="E56" s="149" t="str">
        <f>Jan!E57</f>
        <v xml:space="preserve"> </v>
      </c>
      <c r="F56" s="151"/>
      <c r="G56" s="151" t="str">
        <f>IF(E55=" ", " ", -COUNTIF(C19:C48, "Urlaub*" ))</f>
        <v xml:space="preserve"> </v>
      </c>
      <c r="H56" s="169">
        <v>0</v>
      </c>
      <c r="I56" s="261"/>
      <c r="J56" s="262"/>
      <c r="K56" s="110"/>
      <c r="L56" s="110"/>
    </row>
    <row r="57" spans="1:14" ht="24.5" customHeight="1" thickBot="1" x14ac:dyDescent="0.35">
      <c r="A57" s="265" t="s">
        <v>10</v>
      </c>
      <c r="B57" s="265"/>
      <c r="C57" s="265"/>
      <c r="D57" s="265"/>
      <c r="E57" s="152" t="str">
        <f>Jan!E58</f>
        <v xml:space="preserve"> </v>
      </c>
      <c r="F57" s="153"/>
      <c r="G57" s="154" t="str">
        <f>IF(E55=" ", " ", IF(Mantelbogen!C29 &gt; 0.0001, G55+G56, 0))</f>
        <v xml:space="preserve"> </v>
      </c>
      <c r="H57" s="195">
        <f>SUM(H50:H56)</f>
        <v>1.6458333333333333</v>
      </c>
      <c r="I57" s="263"/>
      <c r="J57" s="264"/>
      <c r="K57" s="105"/>
      <c r="L57" s="118" t="str">
        <f>Mantelbogen!D47</f>
        <v>10.01.2024  HAdW / G. Wolff</v>
      </c>
    </row>
    <row r="59" spans="1:14" x14ac:dyDescent="0.3">
      <c r="G59" s="256"/>
      <c r="H59" s="256"/>
      <c r="I59" s="256"/>
      <c r="J59" s="21"/>
    </row>
    <row r="60" spans="1:14" x14ac:dyDescent="0.3">
      <c r="G60" s="21"/>
      <c r="H60" s="21"/>
      <c r="I60" s="21"/>
      <c r="J60" s="21"/>
    </row>
    <row r="61" spans="1:14" x14ac:dyDescent="0.3">
      <c r="G61" s="21"/>
      <c r="H61" s="21"/>
    </row>
  </sheetData>
  <sheetProtection password="9BC9" sheet="1" objects="1" scenarios="1"/>
  <mergeCells count="64">
    <mergeCell ref="N48:N50"/>
    <mergeCell ref="I12:L13"/>
    <mergeCell ref="A1:E2"/>
    <mergeCell ref="A3:E3"/>
    <mergeCell ref="A53:D53"/>
    <mergeCell ref="J52:J53"/>
    <mergeCell ref="I52:I53"/>
    <mergeCell ref="F48:G48"/>
    <mergeCell ref="A50:D50"/>
    <mergeCell ref="I50:I51"/>
    <mergeCell ref="J50:J51"/>
    <mergeCell ref="A51:D52"/>
    <mergeCell ref="F47:G47"/>
    <mergeCell ref="F36:G36"/>
    <mergeCell ref="F37:G37"/>
    <mergeCell ref="F38:G38"/>
    <mergeCell ref="G59:I59"/>
    <mergeCell ref="A54:D54"/>
    <mergeCell ref="A55:D56"/>
    <mergeCell ref="I55:J57"/>
    <mergeCell ref="A57:D57"/>
    <mergeCell ref="F39:G39"/>
    <mergeCell ref="F40:G40"/>
    <mergeCell ref="F41:G41"/>
    <mergeCell ref="F42:G42"/>
    <mergeCell ref="F43:G43"/>
    <mergeCell ref="F44:G44"/>
    <mergeCell ref="F45:G45"/>
    <mergeCell ref="F46:G46"/>
    <mergeCell ref="F21:G21"/>
    <mergeCell ref="H15:H18"/>
    <mergeCell ref="F22:G22"/>
    <mergeCell ref="F35:G35"/>
    <mergeCell ref="F24:G24"/>
    <mergeCell ref="F25:G25"/>
    <mergeCell ref="F26:G26"/>
    <mergeCell ref="F27:G27"/>
    <mergeCell ref="F28:G28"/>
    <mergeCell ref="F29:G29"/>
    <mergeCell ref="F30:G30"/>
    <mergeCell ref="F31:G31"/>
    <mergeCell ref="F32:G32"/>
    <mergeCell ref="F34:G34"/>
    <mergeCell ref="D15:D18"/>
    <mergeCell ref="E15:E18"/>
    <mergeCell ref="F15:G18"/>
    <mergeCell ref="F19:G19"/>
    <mergeCell ref="F20:G20"/>
    <mergeCell ref="K50:K51"/>
    <mergeCell ref="L50:L51"/>
    <mergeCell ref="G1:J7"/>
    <mergeCell ref="A4:E6"/>
    <mergeCell ref="A11:B11"/>
    <mergeCell ref="A13:B13"/>
    <mergeCell ref="A15:A18"/>
    <mergeCell ref="I15:J15"/>
    <mergeCell ref="I17:I18"/>
    <mergeCell ref="J17:J18"/>
    <mergeCell ref="K15:L16"/>
    <mergeCell ref="K17:L18"/>
    <mergeCell ref="F23:G23"/>
    <mergeCell ref="B15:B18"/>
    <mergeCell ref="C15:C18"/>
    <mergeCell ref="F33:G33"/>
  </mergeCells>
  <phoneticPr fontId="0" type="noConversion"/>
  <conditionalFormatting sqref="C19:C48">
    <cfRule type="expression" dxfId="21" priority="7">
      <formula>ISTEXT($C19)</formula>
    </cfRule>
  </conditionalFormatting>
  <conditionalFormatting sqref="A19:L48">
    <cfRule type="expression" dxfId="20" priority="5">
      <formula>AND(ISTEXT($C19),$C19&lt;&gt;"Kinderkrankentag",$C19&lt;&gt;"Urlaub",$C19&lt;&gt;"Krank",$C19&lt;&gt;"Ausgleich")</formula>
    </cfRule>
  </conditionalFormatting>
  <conditionalFormatting sqref="D19:H48">
    <cfRule type="expression" dxfId="19" priority="4">
      <formula>AND(ISTEXT($C19),OR($C19="Kinderkrankentag",$C19="Urlaub",$C19="Krank",$C19="Ausgleich"))</formula>
    </cfRule>
  </conditionalFormatting>
  <conditionalFormatting sqref="D19:J48">
    <cfRule type="expression" dxfId="18" priority="3">
      <formula>AND(ISTEXT($C19),$C19&lt;&gt;"Kinderkrankentag",$C19&lt;&gt;"Urlaub",$C19&lt;&gt;"Krank",$C19&lt;&gt;"Ausgleich")</formula>
    </cfRule>
  </conditionalFormatting>
  <conditionalFormatting sqref="A19:A48 C19:L48">
    <cfRule type="expression" dxfId="17" priority="1">
      <formula>COUNT(SEARCH(Sonderarbeit,$N19))&gt;=1</formula>
    </cfRule>
  </conditionalFormatting>
  <conditionalFormatting sqref="F19:F48">
    <cfRule type="expression" dxfId="16"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5" xr:uid="{99D7516A-7F06-49A2-B7D0-FA69AA4C92E9}">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7BDAF84F-5158-47B8-BA46-4EDA827943A5}">
            <xm:f>AND($B19=Ref!$A$8, $H$56&gt;0.00001)</xm:f>
            <x14:dxf>
              <font>
                <b val="0"/>
                <i val="0"/>
                <color theme="1"/>
              </font>
            </x14:dxf>
          </x14:cfRule>
          <xm:sqref>C19:C48</xm:sqref>
        </x14:conditionalFormatting>
        <x14:conditionalFormatting xmlns:xm="http://schemas.microsoft.com/office/excel/2006/main">
          <x14:cfRule type="expression" priority="6" id="{B871322B-0924-4818-B6E4-1552C748A620}">
            <xm:f>OR(AND($B19=Ref!$A$7,$H$55=0), AND($B19=Ref!$A$8,$H$56=0), NOT( ISERROR(FIND("feiertag",LOWER($C19)) ) ) )</xm:f>
            <x14:dxf>
              <fill>
                <patternFill patternType="solid">
                  <bgColor rgb="FF99CCFF"/>
                </patternFill>
              </fill>
            </x14:dxf>
          </x14:cfRule>
          <xm:sqref>A19:L48</xm:sqref>
        </x14:conditionalFormatting>
        <x14:conditionalFormatting xmlns:xm="http://schemas.microsoft.com/office/excel/2006/main">
          <x14:cfRule type="expression" priority="8" id="{8EA87DF7-A258-4B61-A1E6-1C1BCC0FA6F0}">
            <xm:f>OR(AND($B19=Ref!$A$7, $H$55&lt;0.00001),AND($B19=Ref!$A$8, $H$56&lt;0.00001))</xm:f>
            <x14:dxf>
              <font>
                <color rgb="FF99CCFF"/>
              </font>
              <fill>
                <patternFill>
                  <bgColor rgb="FF99CCFF"/>
                </patternFill>
              </fill>
            </x14:dxf>
          </x14:cfRule>
          <xm:sqref>C19:J48</xm:sqref>
        </x14:conditionalFormatting>
        <x14:conditionalFormatting xmlns:xm="http://schemas.microsoft.com/office/excel/2006/main">
          <x14:cfRule type="expression" priority="9" id="{084BFD1A-226F-4AEE-814E-70C918A18AD2}">
            <xm:f>AND($B19=Ref!$A$7, $H$55&gt;0.00001)</xm:f>
            <x14:dxf>
              <font>
                <b val="0"/>
                <i val="0"/>
                <color theme="1"/>
              </font>
            </x14:dxf>
          </x14:cfRule>
          <xm:sqref>F19:G48</xm:sqref>
        </x14:conditionalFormatting>
        <x14:conditionalFormatting xmlns:xm="http://schemas.microsoft.com/office/excel/2006/main">
          <x14:cfRule type="expression" priority="2" id="{6CA160BC-A55C-4010-BF93-5505FD38E1FA}">
            <xm:f>AND(OR(AND($F19 &gt; 0.250001, $E19 &lt; 0.020833332), AND($F19 &gt; 0.375, $E19 &lt; 0.03124999)  ),OR(AND($B4&lt;&gt;Ref!$A$7, $B4&lt;&gt;Ref!$A$8),COUNT(SEARCH(Sonderarbeit,$N19))&gt;=1),ISNUMBER($C19))</xm:f>
            <x14:dxf>
              <fill>
                <patternFill>
                  <bgColor rgb="FFFF0000"/>
                </patternFill>
              </fill>
            </x14:dxf>
          </x14:cfRule>
          <xm:sqref>E19:E48</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49." xr:uid="{9BA0E083-A5FD-4BB2-B27E-E543038F919A}">
          <x14:formula1>
            <xm:f>NOT(OFFSET(C19,0,2-COLUMN(C19))=Ref!$A$7)</xm:f>
          </x14:formula1>
          <xm:sqref>C19:E48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pageSetUpPr fitToPage="1"/>
  </sheetPr>
  <dimension ref="A1:N62"/>
  <sheetViews>
    <sheetView zoomScaleNormal="100" workbookViewId="0">
      <selection activeCell="A4" sqref="A4:E6"/>
    </sheetView>
  </sheetViews>
  <sheetFormatPr defaultColWidth="11.54296875" defaultRowHeight="12.5" x14ac:dyDescent="0.25"/>
  <cols>
    <col min="1" max="1" width="5.54296875" style="4" customWidth="1"/>
    <col min="2" max="2" width="9.08984375" style="5" customWidth="1"/>
    <col min="3" max="3" width="17.1796875" style="5" bestFit="1" customWidth="1"/>
    <col min="4" max="4" width="9.08984375" style="5" customWidth="1"/>
    <col min="5" max="5" width="8.54296875" style="2" customWidth="1"/>
    <col min="6" max="6" width="7.08984375" style="2" customWidth="1"/>
    <col min="7" max="7" width="3.1796875" style="2" customWidth="1"/>
    <col min="8" max="8" width="9.08984375" style="2" customWidth="1"/>
    <col min="9" max="9" width="9.90625" style="2" customWidth="1"/>
    <col min="10" max="10" width="10.36328125" style="2" customWidth="1"/>
    <col min="11" max="11" width="2.90625" style="2" customWidth="1"/>
    <col min="12" max="12" width="8.90625" style="2" customWidth="1"/>
    <col min="13" max="13" width="16.36328125" style="177" customWidth="1"/>
    <col min="14" max="14" width="18.1796875" style="178" customWidth="1"/>
    <col min="15" max="16384" width="11.54296875" style="2"/>
  </cols>
  <sheetData>
    <row r="1" spans="1:14" ht="15.5" x14ac:dyDescent="0.35">
      <c r="A1" s="289" t="s">
        <v>53</v>
      </c>
      <c r="B1" s="289"/>
      <c r="C1" s="289"/>
      <c r="D1" s="289"/>
      <c r="E1" s="289"/>
      <c r="F1" s="1"/>
      <c r="G1" s="277" t="s">
        <v>9</v>
      </c>
      <c r="H1" s="277"/>
      <c r="I1" s="277"/>
      <c r="J1" s="277"/>
    </row>
    <row r="2" spans="1:14" ht="15.5" x14ac:dyDescent="0.35">
      <c r="A2" s="289"/>
      <c r="B2" s="289"/>
      <c r="C2" s="289"/>
      <c r="D2" s="289"/>
      <c r="E2" s="289"/>
      <c r="F2" s="3"/>
      <c r="G2" s="277"/>
      <c r="H2" s="277"/>
      <c r="I2" s="277"/>
      <c r="J2" s="277"/>
    </row>
    <row r="3" spans="1:14" ht="13" x14ac:dyDescent="0.3">
      <c r="A3" s="288" t="s">
        <v>11</v>
      </c>
      <c r="B3" s="288"/>
      <c r="C3" s="288"/>
      <c r="D3" s="288"/>
      <c r="E3" s="288"/>
      <c r="G3" s="277"/>
      <c r="H3" s="277"/>
      <c r="I3" s="277"/>
      <c r="J3" s="277"/>
    </row>
    <row r="4" spans="1:14" ht="13.25" customHeight="1" x14ac:dyDescent="0.25">
      <c r="A4" s="278" t="s">
        <v>5</v>
      </c>
      <c r="B4" s="278"/>
      <c r="C4" s="278"/>
      <c r="D4" s="278"/>
      <c r="E4" s="278"/>
      <c r="F4" s="6"/>
      <c r="G4" s="277"/>
      <c r="H4" s="277"/>
      <c r="I4" s="277"/>
      <c r="J4" s="277"/>
    </row>
    <row r="5" spans="1:14" ht="6" customHeight="1" x14ac:dyDescent="0.25">
      <c r="A5" s="278"/>
      <c r="B5" s="278"/>
      <c r="C5" s="278"/>
      <c r="D5" s="278"/>
      <c r="E5" s="278"/>
      <c r="F5" s="6"/>
      <c r="G5" s="277"/>
      <c r="H5" s="277"/>
      <c r="I5" s="277"/>
      <c r="J5" s="277"/>
    </row>
    <row r="6" spans="1:14" ht="13.25" customHeight="1" x14ac:dyDescent="0.25">
      <c r="A6" s="278"/>
      <c r="B6" s="278"/>
      <c r="C6" s="278"/>
      <c r="D6" s="278"/>
      <c r="E6" s="278"/>
      <c r="F6" s="6"/>
      <c r="G6" s="277"/>
      <c r="H6" s="277"/>
      <c r="I6" s="277"/>
      <c r="J6" s="277"/>
    </row>
    <row r="7" spans="1:14" ht="13.25" customHeight="1" x14ac:dyDescent="0.25">
      <c r="A7" s="6"/>
      <c r="B7" s="6"/>
      <c r="C7" s="6"/>
      <c r="D7" s="6"/>
      <c r="E7" s="6"/>
      <c r="F7" s="6"/>
      <c r="G7" s="277"/>
      <c r="H7" s="277"/>
      <c r="I7" s="277"/>
      <c r="J7" s="277"/>
    </row>
    <row r="8" spans="1:14" ht="6" customHeight="1" thickBot="1" x14ac:dyDescent="0.3">
      <c r="A8" s="7"/>
      <c r="B8" s="8"/>
      <c r="C8" s="8"/>
      <c r="D8" s="8"/>
      <c r="E8" s="9"/>
      <c r="F8" s="9"/>
      <c r="G8" s="9"/>
      <c r="H8" s="9"/>
      <c r="I8" s="10"/>
      <c r="J8" s="10"/>
      <c r="K8" s="11"/>
      <c r="L8" s="12"/>
    </row>
    <row r="9" spans="1:14" ht="6" customHeight="1" x14ac:dyDescent="0.25">
      <c r="A9" s="13"/>
      <c r="B9" s="14"/>
      <c r="C9" s="14"/>
      <c r="D9" s="14"/>
      <c r="E9" s="15"/>
      <c r="F9" s="15"/>
      <c r="G9" s="15"/>
      <c r="H9" s="15"/>
      <c r="I9" s="16"/>
      <c r="J9" s="16"/>
      <c r="K9" s="17"/>
      <c r="L9" s="18"/>
    </row>
    <row r="10" spans="1:14" ht="13" x14ac:dyDescent="0.3">
      <c r="A10" s="119"/>
      <c r="B10" s="120"/>
      <c r="C10" s="120"/>
      <c r="D10" s="120"/>
      <c r="E10" s="121"/>
      <c r="F10" s="121"/>
      <c r="G10" s="121"/>
      <c r="H10" s="105"/>
      <c r="I10" s="122"/>
      <c r="J10" s="122"/>
      <c r="K10" s="123"/>
      <c r="L10" s="124"/>
    </row>
    <row r="11" spans="1:14" ht="13" x14ac:dyDescent="0.3">
      <c r="A11" s="290" t="s">
        <v>6</v>
      </c>
      <c r="B11" s="290"/>
      <c r="C11" s="125" t="str">
        <f>Sep!C11</f>
        <v>ATHENE, Pallas</v>
      </c>
      <c r="D11" s="126"/>
      <c r="E11" s="127"/>
      <c r="F11" s="128"/>
      <c r="G11" s="128" t="s">
        <v>8</v>
      </c>
      <c r="H11" s="129"/>
      <c r="I11" s="130">
        <f>DATE(J11,10,1)</f>
        <v>45931</v>
      </c>
      <c r="J11" s="131">
        <f>Jan!J11</f>
        <v>2025</v>
      </c>
      <c r="K11" s="132"/>
      <c r="L11" s="133"/>
    </row>
    <row r="12" spans="1:14" ht="13" x14ac:dyDescent="0.3">
      <c r="A12" s="134"/>
      <c r="B12" s="124"/>
      <c r="C12" s="135"/>
      <c r="D12" s="136"/>
      <c r="E12" s="128"/>
      <c r="F12" s="128"/>
      <c r="G12" s="121"/>
      <c r="H12" s="105"/>
      <c r="I12" s="122"/>
      <c r="J12" s="122"/>
      <c r="K12" s="123"/>
      <c r="L12" s="124"/>
    </row>
    <row r="13" spans="1:14" ht="13" x14ac:dyDescent="0.3">
      <c r="A13" s="290" t="s">
        <v>7</v>
      </c>
      <c r="B13" s="290"/>
      <c r="C13" s="125" t="str">
        <f>Sep!C13</f>
        <v>Geschäftsstelle</v>
      </c>
      <c r="D13" s="139"/>
      <c r="E13" s="127"/>
      <c r="F13" s="140"/>
      <c r="G13" s="140"/>
      <c r="H13" s="129"/>
      <c r="I13" s="126"/>
      <c r="J13" s="127"/>
      <c r="K13" s="132"/>
      <c r="L13" s="133"/>
    </row>
    <row r="14" spans="1:14" ht="13.5" thickBot="1" x14ac:dyDescent="0.35">
      <c r="A14" s="134"/>
      <c r="B14" s="141"/>
      <c r="C14" s="141"/>
      <c r="D14" s="141"/>
      <c r="E14" s="105"/>
      <c r="F14" s="105"/>
      <c r="G14" s="105"/>
      <c r="H14" s="105"/>
      <c r="I14" s="105"/>
      <c r="J14" s="105"/>
      <c r="K14" s="123"/>
      <c r="L14" s="124"/>
    </row>
    <row r="15" spans="1:14" ht="13.25" customHeight="1" x14ac:dyDescent="0.25">
      <c r="A15" s="282"/>
      <c r="B15" s="282" t="s">
        <v>14</v>
      </c>
      <c r="C15" s="282" t="s">
        <v>130</v>
      </c>
      <c r="D15" s="282" t="s">
        <v>19</v>
      </c>
      <c r="E15" s="282" t="s">
        <v>16</v>
      </c>
      <c r="F15" s="283" t="s">
        <v>44</v>
      </c>
      <c r="G15" s="283"/>
      <c r="H15" s="279" t="s">
        <v>45</v>
      </c>
      <c r="I15" s="285" t="s">
        <v>0</v>
      </c>
      <c r="J15" s="285"/>
      <c r="K15" s="244" t="s">
        <v>43</v>
      </c>
      <c r="L15" s="245"/>
    </row>
    <row r="16" spans="1:14" ht="13" thickBot="1" x14ac:dyDescent="0.3">
      <c r="A16" s="282"/>
      <c r="B16" s="282"/>
      <c r="C16" s="282"/>
      <c r="D16" s="282"/>
      <c r="E16" s="282"/>
      <c r="F16" s="283"/>
      <c r="G16" s="283"/>
      <c r="H16" s="280"/>
      <c r="I16" s="84" t="s">
        <v>1</v>
      </c>
      <c r="J16" s="84" t="s">
        <v>2</v>
      </c>
      <c r="K16" s="246"/>
      <c r="L16" s="247"/>
      <c r="N16" s="179"/>
    </row>
    <row r="17" spans="1:14" ht="13" thickBot="1" x14ac:dyDescent="0.3">
      <c r="A17" s="282"/>
      <c r="B17" s="282"/>
      <c r="C17" s="282"/>
      <c r="D17" s="282"/>
      <c r="E17" s="282"/>
      <c r="F17" s="283"/>
      <c r="G17" s="283"/>
      <c r="H17" s="280"/>
      <c r="I17" s="286">
        <f>IF(Mantelbogen!D26=I11,Mantelbogen!C28,Sep!I52)</f>
        <v>0.79166666666666807</v>
      </c>
      <c r="J17" s="287" t="str">
        <f>IF(Mantelbogen!D26=I11,Mantelbogen!D28,Sep!J52)</f>
        <v/>
      </c>
      <c r="K17" s="248" t="str">
        <f>IF(I17/H58 &gt; 1, I17/H58, " " )</f>
        <v xml:space="preserve"> </v>
      </c>
      <c r="L17" s="249"/>
      <c r="N17" s="180"/>
    </row>
    <row r="18" spans="1:14" ht="13" thickBot="1" x14ac:dyDescent="0.3">
      <c r="A18" s="282"/>
      <c r="B18" s="282"/>
      <c r="C18" s="282"/>
      <c r="D18" s="282"/>
      <c r="E18" s="282"/>
      <c r="F18" s="283"/>
      <c r="G18" s="283"/>
      <c r="H18" s="281"/>
      <c r="I18" s="286"/>
      <c r="J18" s="287"/>
      <c r="K18" s="250"/>
      <c r="L18" s="251"/>
      <c r="N18" s="180"/>
    </row>
    <row r="19" spans="1:14" ht="17.399999999999999" customHeight="1" x14ac:dyDescent="0.55000000000000004">
      <c r="A19" s="86">
        <v>1</v>
      </c>
      <c r="B19" s="85" t="str">
        <f>TEXT(DATE(J$11,MONTH(I$11),A19),Textcode)</f>
        <v>Mittwoch</v>
      </c>
      <c r="C19" s="87">
        <v>0.35416666666666669</v>
      </c>
      <c r="D19" s="213">
        <f t="array" ref="D19">IF(AND(COUNT(SEARCH(Sonderarbeit,$N19,1))&gt;=1,$B19=Ref!$A$7),Ref!$K$1,Ref!$K$2)</f>
        <v>0.70833333333333337</v>
      </c>
      <c r="E19" s="213">
        <f t="array" ref="E19">IF(AND(COUNT(SEARCH(Sonderarbeit,$N19))&gt;=1,$B19=Ref!$A$7),,Ref!$K$3)</f>
        <v>2.0833333333333332E-2</v>
      </c>
      <c r="F19" s="270">
        <f>IF(ISTEXT(C19),,D19-C19-E19)</f>
        <v>0.33333333333333337</v>
      </c>
      <c r="G19" s="271"/>
      <c r="H19" s="88">
        <f t="shared" ref="H19:H23" si="0">IF(AND(ISTEXT(C19),ISERR(SEARCH("ausgleich",C19,1))),,INDEX(H$51:H$58,WEEKDAY(DATE(J$11,MONTH(I$11),A19),2),1,1))</f>
        <v>0.33333333333333331</v>
      </c>
      <c r="I19" s="89" t="str">
        <f>IF(AND(F19&gt;H19,OR(AND(OR($B19&lt;&gt;Ref!$A$7,$H$56&gt;0),OR($B19&lt;&gt;Ref!$A$8,$H$57&gt;0)),COUNT(SEARCH(Sonderarbeit,$N19))&gt;=1),ISNONTEXT(C19),C19&lt;&gt;""),F19-H19,"")</f>
        <v/>
      </c>
      <c r="J19" s="90" t="str">
        <f>IF(OR(AND(F19&lt;H19,OR(AND(OR($B19&lt;&gt;Ref!$A$7,$H$56&gt;0),OR($B19&lt;&gt;Ref!$A$8,$H$57&gt;0)),COUNT(SEARCH(Sonderarbeit,$N19))&gt;=1)),C19="Ausgleich"),H19-F19,"")</f>
        <v/>
      </c>
      <c r="K19" s="170" t="str">
        <f>IF(AND(B19=Ref!$A$8,SUM(I19:I19)&lt;SUM(J19:J19)),"-","")</f>
        <v/>
      </c>
      <c r="L19" s="171" t="str">
        <f>IF(B19=Ref!$A$8,ABS(SUM(I19:I19)-SUM(J19:J19)),"")</f>
        <v/>
      </c>
      <c r="M19" s="181"/>
      <c r="N19" s="181"/>
    </row>
    <row r="20" spans="1:14" ht="17.399999999999999" customHeight="1" x14ac:dyDescent="0.55000000000000004">
      <c r="A20" s="86">
        <v>2</v>
      </c>
      <c r="B20" s="85" t="str">
        <f t="shared" ref="B20:B49" si="1">TEXT(DATE(J$11,MONTH(I$11),A20),Textcode)</f>
        <v>Donnerstag</v>
      </c>
      <c r="C20" s="87">
        <v>0.35416666666666669</v>
      </c>
      <c r="D20" s="213">
        <f t="array" ref="D20">IF(AND(COUNT(SEARCH(Sonderarbeit,$N20,1))&gt;=1,$B20=Ref!$A$7),Ref!$K$1,Ref!$K$2)</f>
        <v>0.70833333333333337</v>
      </c>
      <c r="E20" s="213">
        <f t="array" ref="E20">IF(AND(COUNT(SEARCH(Sonderarbeit,$N20))&gt;=1,$B20=Ref!$A$7),,Ref!$K$3)</f>
        <v>2.0833333333333332E-2</v>
      </c>
      <c r="F20" s="270">
        <f>IF(ISTEXT(C20),,D20-C20-E20)</f>
        <v>0.33333333333333337</v>
      </c>
      <c r="G20" s="271"/>
      <c r="H20" s="88">
        <f t="shared" si="0"/>
        <v>0.33333333333333331</v>
      </c>
      <c r="I20" s="89" t="str">
        <f>IF(AND(F20&gt;H20,OR(AND(OR($B20&lt;&gt;Ref!$A$7,$H$56&gt;0),OR($B20&lt;&gt;Ref!$A$8,$H$57&gt;0)),COUNT(SEARCH(Sonderarbeit,$N20))&gt;=1),ISNONTEXT(C20),C20&lt;&gt;""),F20-H20,"")</f>
        <v/>
      </c>
      <c r="J20" s="90" t="str">
        <f>IF(OR(AND(F20&lt;H20,OR(AND(OR($B20&lt;&gt;Ref!$A$7,$H$56&gt;0),OR($B20&lt;&gt;Ref!$A$8,$H$57&gt;0)),COUNT(SEARCH(Sonderarbeit,$N20))&gt;=1)),C20="Ausgleich"),H20-F20,"")</f>
        <v/>
      </c>
      <c r="K20" s="91" t="str">
        <f>IF(AND(B20=Ref!$A$8,SUM(I19:I20)&lt;SUM(J19:J20)),"-","")</f>
        <v/>
      </c>
      <c r="L20" s="92" t="str">
        <f>IF(B20=Ref!$A$8,ABS(SUM(I19:I20)-SUM(J19:J20)),"")</f>
        <v/>
      </c>
      <c r="N20" s="181"/>
    </row>
    <row r="21" spans="1:14" ht="17.399999999999999" customHeight="1" x14ac:dyDescent="0.55000000000000004">
      <c r="A21" s="93">
        <v>3</v>
      </c>
      <c r="B21" s="85" t="str">
        <f t="shared" si="1"/>
        <v>Freitag</v>
      </c>
      <c r="C21" s="87" t="s">
        <v>99</v>
      </c>
      <c r="D21" s="213">
        <f t="array" ref="D21">IF(AND(COUNT(SEARCH(Sonderarbeit,$N21,1))&gt;=1,$B21=Ref!$A$7),Ref!$K$1,Ref!$K$2)</f>
        <v>0.70833333333333337</v>
      </c>
      <c r="E21" s="213">
        <f t="array" ref="E21">IF(AND(COUNT(SEARCH(Sonderarbeit,$N21))&gt;=1,$B21=Ref!$A$7),,Ref!$K$3)</f>
        <v>2.0833333333333332E-2</v>
      </c>
      <c r="F21" s="270">
        <f t="shared" ref="F21:F49" si="2">IF(ISTEXT(C21),,D21-C21-E21)</f>
        <v>0</v>
      </c>
      <c r="G21" s="271"/>
      <c r="H21" s="88">
        <f t="shared" si="0"/>
        <v>0</v>
      </c>
      <c r="I21" s="89" t="str">
        <f>IF(AND(F21&gt;H21,OR(AND(OR($B21&lt;&gt;Ref!$A$7,$H$56&gt;0),OR($B21&lt;&gt;Ref!$A$8,$H$57&gt;0)),COUNT(SEARCH(Sonderarbeit,$N21))&gt;=1),ISNONTEXT(C21),C21&lt;&gt;""),F21-H21,"")</f>
        <v/>
      </c>
      <c r="J21" s="90" t="str">
        <f>IF(OR(AND(F21&lt;H21,OR(AND(OR($B21&lt;&gt;Ref!$A$7,$H$56&gt;0),OR($B21&lt;&gt;Ref!$A$8,$H$57&gt;0)),COUNT(SEARCH(Sonderarbeit,$N21))&gt;=1)),C21="Ausgleich"),H21-F21,"")</f>
        <v/>
      </c>
      <c r="K21" s="91" t="str">
        <f>IF(AND(B21=Ref!$A$8,SUM(I19:I21)&lt;SUM(J19:J21)),"-","")</f>
        <v/>
      </c>
      <c r="L21" s="92" t="str">
        <f>IF(B21=Ref!$A$8,ABS(SUM(I19:I21)-SUM(J19:J21)),"")</f>
        <v/>
      </c>
      <c r="N21" s="181"/>
    </row>
    <row r="22" spans="1:14" ht="17.399999999999999" customHeight="1" x14ac:dyDescent="0.55000000000000004">
      <c r="A22" s="94">
        <v>4</v>
      </c>
      <c r="B22" s="85" t="str">
        <f t="shared" si="1"/>
        <v>Samstag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v>
      </c>
      <c r="I22" s="89" t="str">
        <f>IF(AND(F22&gt;H22,OR(AND(OR($B22&lt;&gt;Ref!$A$7,$H$56&gt;0),OR($B22&lt;&gt;Ref!$A$8,$H$57&gt;0)),COUNT(SEARCH(Sonderarbeit,$N22))&gt;=1),ISNONTEXT(C22),C22&lt;&gt;""),F22-H22,"")</f>
        <v/>
      </c>
      <c r="J22" s="90" t="str">
        <f>IF(OR(AND(F22&lt;H22,OR(AND(OR($B22&lt;&gt;Ref!$A$7,$H$56&gt;0),OR($B22&lt;&gt;Ref!$A$8,$H$57&gt;0)),COUNT(SEARCH(Sonderarbeit,$N22))&gt;=1)),C22="Ausgleich"),H22-F22,"")</f>
        <v/>
      </c>
      <c r="K22" s="91" t="str">
        <f>IF(AND(B22=Ref!$A$8,SUM(I19:I22)&lt;SUM(J19:J22)),"-","")</f>
        <v/>
      </c>
      <c r="L22" s="92" t="str">
        <f>IF(B22=Ref!$A$8,ABS(SUM(I19:I22)-SUM(J19:J22)),"")</f>
        <v/>
      </c>
    </row>
    <row r="23" spans="1:14" ht="17.399999999999999" customHeight="1" x14ac:dyDescent="0.55000000000000004">
      <c r="A23" s="94">
        <v>5</v>
      </c>
      <c r="B23" s="85" t="str">
        <f t="shared" si="1"/>
        <v>Sonntag</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v>
      </c>
      <c r="I23" s="89" t="str">
        <f>IF(AND(F23&gt;H23,OR(AND(OR($B23&lt;&gt;Ref!$A$7,$H$56&gt;0),OR($B23&lt;&gt;Ref!$A$8,$H$57&gt;0)),COUNT(SEARCH(Sonderarbeit,$N23))&gt;=1),ISNONTEXT(C23),C23&lt;&gt;""),F23-H23,"")</f>
        <v/>
      </c>
      <c r="J23" s="90" t="str">
        <f>IF(OR(AND(F23&lt;H23,OR(AND(OR($B23&lt;&gt;Ref!$A$7,$H$56&gt;0),OR($B23&lt;&gt;Ref!$A$8,$H$57&gt;0)),COUNT(SEARCH(Sonderarbeit,$N23))&gt;=1)),C23="Ausgleich"),H23-F23,"")</f>
        <v/>
      </c>
      <c r="K23" s="91" t="str">
        <f>IF(AND(B23=Ref!$A$8,SUM(I19:I23)&lt;SUM(J19:J23)),"-","")</f>
        <v/>
      </c>
      <c r="L23" s="92">
        <f>IF(B23=Ref!$A$8,ABS(SUM(I19:I23)-SUM(J19:J23)),"")</f>
        <v>0</v>
      </c>
      <c r="N23" s="181"/>
    </row>
    <row r="24" spans="1:14" ht="17.399999999999999" customHeight="1" x14ac:dyDescent="0.55000000000000004">
      <c r="A24" s="86">
        <v>6</v>
      </c>
      <c r="B24" s="85" t="str">
        <f t="shared" si="1"/>
        <v>Montag</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IF(AND(ISTEXT(C24),ISERR(SEARCH("ausgleich",C24,1))),,INDEX(H$51:H$58,WEEKDAY(DATE(J$11,MONTH(I$11),A24),2),1,1))</f>
        <v>0.33333333333333331</v>
      </c>
      <c r="I24" s="89" t="str">
        <f>IF(AND(F24&gt;H24,OR(AND(OR($B24&lt;&gt;Ref!$A$7,$H$56&gt;0),OR($B24&lt;&gt;Ref!$A$8,$H$57&gt;0)),COUNT(SEARCH(Sonderarbeit,$N24))&gt;=1),ISNONTEXT(C24),C24&lt;&gt;""),F24-H24,"")</f>
        <v/>
      </c>
      <c r="J24" s="90" t="str">
        <f>IF(OR(AND(F24&lt;H24,OR(AND(OR($B24&lt;&gt;Ref!$A$7,$H$56&gt;0),OR($B24&lt;&gt;Ref!$A$8,$H$57&gt;0)),COUNT(SEARCH(Sonderarbeit,$N24))&gt;=1)),C24="Ausgleich"),H24-F24,"")</f>
        <v/>
      </c>
      <c r="K24" s="91" t="str">
        <f>IF(AND(B24=Ref!$A$8,SUM(I19:I24)&lt;SUM(J19:J24)),"-","")</f>
        <v/>
      </c>
      <c r="L24" s="92" t="str">
        <f>IF(B24=Ref!$A$8,ABS(SUM(I19:I24)-SUM(J19:J24)),"")</f>
        <v/>
      </c>
      <c r="N24" s="181"/>
    </row>
    <row r="25" spans="1:14" ht="17.399999999999999" customHeight="1" x14ac:dyDescent="0.55000000000000004">
      <c r="A25" s="94">
        <v>7</v>
      </c>
      <c r="B25" s="85" t="str">
        <f t="shared" si="1"/>
        <v>Dienstag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ref="H25:H49" si="3">IF(AND(ISTEXT(C25),ISERR(SEARCH("ausgleich",C25,1))),,INDEX(H$51:H$58,WEEKDAY(DATE(J$11,MONTH(I$11),A25),2),1,1))</f>
        <v>0.33333333333333331</v>
      </c>
      <c r="I25" s="89" t="str">
        <f>IF(AND(F25&gt;H25,OR(AND(OR($B25&lt;&gt;Ref!$A$7,$H$56&gt;0),OR($B25&lt;&gt;Ref!$A$8,$H$57&gt;0)),COUNT(SEARCH(Sonderarbeit,$N25))&gt;=1),ISNONTEXT(C25),C25&lt;&gt;""),F25-H25,"")</f>
        <v/>
      </c>
      <c r="J25" s="90" t="str">
        <f>IF(OR(AND(F25&lt;H25,OR(AND(OR($B25&lt;&gt;Ref!$A$7,$H$56&gt;0),OR($B25&lt;&gt;Ref!$A$8,$H$57&gt;0)),COUNT(SEARCH(Sonderarbeit,$N25))&gt;=1)),C25="Ausgleich"),H25-F25,"")</f>
        <v/>
      </c>
      <c r="K25" s="91" t="str">
        <f>IF(AND(B25=Ref!$A$8,SUM(I19:I25)&lt;SUM(J19:J25)),"-","")</f>
        <v/>
      </c>
      <c r="L25" s="92" t="str">
        <f>IF(B25=Ref!$A$8,ABS(SUM(I19:I25)-SUM(J19:J25)),"")</f>
        <v/>
      </c>
      <c r="N25" s="181"/>
    </row>
    <row r="26" spans="1:14" ht="17.399999999999999" customHeight="1" x14ac:dyDescent="0.55000000000000004">
      <c r="A26" s="94">
        <v>8</v>
      </c>
      <c r="B26" s="85" t="str">
        <f t="shared" si="1"/>
        <v>Mittwoch</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3"/>
        <v>0.33333333333333331</v>
      </c>
      <c r="I26" s="89" t="str">
        <f>IF(AND(F26&gt;H26,OR(AND(OR($B26&lt;&gt;Ref!$A$7,$H$56&gt;0),OR($B26&lt;&gt;Ref!$A$8,$H$57&gt;0)),COUNT(SEARCH(Sonderarbeit,$N26))&gt;=1),ISNONTEXT(C26),C26&lt;&gt;""),F26-H26,"")</f>
        <v/>
      </c>
      <c r="J26" s="90" t="str">
        <f>IF(OR(AND(F26&lt;H26,OR(AND(OR($B26&lt;&gt;Ref!$A$7,$H$56&gt;0),OR($B26&lt;&gt;Ref!$A$8,$H$57&gt;0)),COUNT(SEARCH(Sonderarbeit,$N26))&gt;=1)),C26="Ausgleich"),H26-F26,"")</f>
        <v/>
      </c>
      <c r="K26" s="91" t="str">
        <f>IF(AND(B26=Ref!$A$8,SUM(I20:I26)&lt;SUM(J20:J26)),"-","")</f>
        <v/>
      </c>
      <c r="L26" s="92" t="str">
        <f>IF(B26=Ref!$A$8,ABS(SUM(I20:I26)-SUM(J20:J26)),"")</f>
        <v/>
      </c>
      <c r="N26" s="181"/>
    </row>
    <row r="27" spans="1:14" ht="17.399999999999999" customHeight="1" x14ac:dyDescent="0.55000000000000004">
      <c r="A27" s="86">
        <v>9</v>
      </c>
      <c r="B27" s="85" t="str">
        <f t="shared" si="1"/>
        <v>Donnerstag</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3"/>
        <v>0.33333333333333331</v>
      </c>
      <c r="I27" s="89" t="str">
        <f>IF(AND(F27&gt;H27,OR(AND(OR($B27&lt;&gt;Ref!$A$7,$H$56&gt;0),OR($B27&lt;&gt;Ref!$A$8,$H$57&gt;0)),COUNT(SEARCH(Sonderarbeit,$N27))&gt;=1),ISNONTEXT(C27),C27&lt;&gt;""),F27-H27,"")</f>
        <v/>
      </c>
      <c r="J27" s="90" t="str">
        <f>IF(OR(AND(F27&lt;H27,OR(AND(OR($B27&lt;&gt;Ref!$A$7,$H$56&gt;0),OR($B27&lt;&gt;Ref!$A$8,$H$57&gt;0)),COUNT(SEARCH(Sonderarbeit,$N27))&gt;=1)),C27="Ausgleich"),H27-F27,"")</f>
        <v/>
      </c>
      <c r="K27" s="91" t="str">
        <f>IF(AND(B27=Ref!$A$8,SUM(I21:I27)&lt;SUM(J21:J27)),"-","")</f>
        <v/>
      </c>
      <c r="L27" s="92" t="str">
        <f>IF(B27=Ref!$A$8,ABS(SUM(I21:I27)-SUM(J21:J27)),"")</f>
        <v/>
      </c>
      <c r="N27" s="181"/>
    </row>
    <row r="28" spans="1:14" ht="17.399999999999999" customHeight="1" x14ac:dyDescent="0.55000000000000004">
      <c r="A28" s="86">
        <v>10</v>
      </c>
      <c r="B28" s="85" t="str">
        <f t="shared" si="1"/>
        <v>Freitag</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3"/>
        <v>0.3125</v>
      </c>
      <c r="I28" s="89">
        <f>IF(AND(F28&gt;H28,OR(AND(OR($B28&lt;&gt;Ref!$A$7,$H$56&gt;0),OR($B28&lt;&gt;Ref!$A$8,$H$57&gt;0)),COUNT(SEARCH(Sonderarbeit,$N28))&gt;=1),ISNONTEXT(C28),C28&lt;&gt;""),F28-H28,"")</f>
        <v>2.083333333333337E-2</v>
      </c>
      <c r="J28" s="90" t="str">
        <f>IF(OR(AND(F28&lt;H28,OR(AND(OR($B28&lt;&gt;Ref!$A$7,$H$56&gt;0),OR($B28&lt;&gt;Ref!$A$8,$H$57&gt;0)),COUNT(SEARCH(Sonderarbeit,$N28))&gt;=1)),C28="Ausgleich"),H28-F28,"")</f>
        <v/>
      </c>
      <c r="K28" s="91" t="str">
        <f>IF(AND(B28=Ref!$A$8,SUM(I22:I28)&lt;SUM(J22:J28)),"-","")</f>
        <v/>
      </c>
      <c r="L28" s="92" t="str">
        <f>IF(B28=Ref!$A$8,ABS(SUM(I22:I28)-SUM(J22:J28)),"")</f>
        <v/>
      </c>
      <c r="N28" s="181"/>
    </row>
    <row r="29" spans="1:14" ht="17.399999999999999" customHeight="1" x14ac:dyDescent="0.55000000000000004">
      <c r="A29" s="94">
        <v>11</v>
      </c>
      <c r="B29" s="85" t="str">
        <f t="shared" si="1"/>
        <v>Samstag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3"/>
        <v>0</v>
      </c>
      <c r="I29" s="89" t="str">
        <f>IF(AND(F29&gt;H29,OR(AND(OR($B29&lt;&gt;Ref!$A$7,$H$56&gt;0),OR($B29&lt;&gt;Ref!$A$8,$H$57&gt;0)),COUNT(SEARCH(Sonderarbeit,$N29))&gt;=1),ISNONTEXT(C29),C29&lt;&gt;""),F29-H29,"")</f>
        <v/>
      </c>
      <c r="J29" s="90" t="str">
        <f>IF(OR(AND(F29&lt;H29,OR(AND(OR($B29&lt;&gt;Ref!$A$7,$H$56&gt;0),OR($B29&lt;&gt;Ref!$A$8,$H$57&gt;0)),COUNT(SEARCH(Sonderarbeit,$N29))&gt;=1)),C29="Ausgleich"),H29-F29,"")</f>
        <v/>
      </c>
      <c r="K29" s="91" t="str">
        <f>IF(AND(B29=Ref!$A$8,SUM(I23:I29)&lt;SUM(J23:J29)),"-","")</f>
        <v/>
      </c>
      <c r="L29" s="92" t="str">
        <f>IF(B29=Ref!$A$8,ABS(SUM(I23:I29)-SUM(J23:J29)),"")</f>
        <v/>
      </c>
      <c r="N29" s="181"/>
    </row>
    <row r="30" spans="1:14" ht="17.399999999999999" customHeight="1" x14ac:dyDescent="0.55000000000000004">
      <c r="A30" s="94">
        <v>12</v>
      </c>
      <c r="B30" s="85" t="str">
        <f t="shared" si="1"/>
        <v>Sonntag</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3"/>
        <v>0</v>
      </c>
      <c r="I30" s="89" t="str">
        <f>IF(AND(F30&gt;H30,OR(AND(OR($B30&lt;&gt;Ref!$A$7,$H$56&gt;0),OR($B30&lt;&gt;Ref!$A$8,$H$57&gt;0)),COUNT(SEARCH(Sonderarbeit,$N30))&gt;=1),ISNONTEXT(C30),C30&lt;&gt;""),F30-H30,"")</f>
        <v/>
      </c>
      <c r="J30" s="90" t="str">
        <f>IF(OR(AND(F30&lt;H30,OR(AND(OR($B30&lt;&gt;Ref!$A$7,$H$56&gt;0),OR($B30&lt;&gt;Ref!$A$8,$H$57&gt;0)),COUNT(SEARCH(Sonderarbeit,$N30))&gt;=1)),C30="Ausgleich"),H30-F30,"")</f>
        <v/>
      </c>
      <c r="K30" s="91" t="str">
        <f>IF(AND(B30=Ref!$A$8,SUM(I24:I30)&lt;SUM(J24:J30)),"-","")</f>
        <v/>
      </c>
      <c r="L30" s="92">
        <f>IF(B30=Ref!$A$8,ABS(SUM(I24:I30)-SUM(J24:J30)),"")</f>
        <v>2.083333333333337E-2</v>
      </c>
      <c r="N30" s="181"/>
    </row>
    <row r="31" spans="1:14" ht="17.399999999999999" customHeight="1" x14ac:dyDescent="0.55000000000000004">
      <c r="A31" s="94">
        <v>13</v>
      </c>
      <c r="B31" s="85" t="str">
        <f t="shared" si="1"/>
        <v>Montag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3"/>
        <v>0.33333333333333331</v>
      </c>
      <c r="I31" s="89" t="str">
        <f>IF(AND(F31&gt;H31,OR(AND(OR($B31&lt;&gt;Ref!$A$7,$H$56&gt;0),OR($B31&lt;&gt;Ref!$A$8,$H$57&gt;0)),COUNT(SEARCH(Sonderarbeit,$N31))&gt;=1),ISNONTEXT(C31),C31&lt;&gt;""),F31-H31,"")</f>
        <v/>
      </c>
      <c r="J31" s="90" t="str">
        <f>IF(OR(AND(F31&lt;H31,OR(AND(OR($B31&lt;&gt;Ref!$A$7,$H$56&gt;0),OR($B31&lt;&gt;Ref!$A$8,$H$57&gt;0)),COUNT(SEARCH(Sonderarbeit,$N31))&gt;=1)),C31="Ausgleich"),H31-F31,"")</f>
        <v/>
      </c>
      <c r="K31" s="91" t="str">
        <f>IF(AND(B31=Ref!$A$8,SUM(I25:I31)&lt;SUM(J25:J31)),"-","")</f>
        <v/>
      </c>
      <c r="L31" s="92" t="str">
        <f>IF(B31=Ref!$A$8,ABS(SUM(I25:I31)-SUM(J25:J31)),"")</f>
        <v/>
      </c>
      <c r="N31" s="181"/>
    </row>
    <row r="32" spans="1:14" ht="17.399999999999999" customHeight="1" x14ac:dyDescent="0.55000000000000004">
      <c r="A32" s="94">
        <v>14</v>
      </c>
      <c r="B32" s="85" t="str">
        <f t="shared" si="1"/>
        <v>Dienstag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3"/>
        <v>0.33333333333333331</v>
      </c>
      <c r="I32" s="89" t="str">
        <f>IF(AND(F32&gt;H32,OR(AND(OR($B32&lt;&gt;Ref!$A$7,$H$56&gt;0),OR($B32&lt;&gt;Ref!$A$8,$H$57&gt;0)),COUNT(SEARCH(Sonderarbeit,$N32))&gt;=1),ISNONTEXT(C32),C32&lt;&gt;""),F32-H32,"")</f>
        <v/>
      </c>
      <c r="J32" s="90" t="str">
        <f>IF(OR(AND(F32&lt;H32,OR(AND(OR($B32&lt;&gt;Ref!$A$7,$H$56&gt;0),OR($B32&lt;&gt;Ref!$A$8,$H$57&gt;0)),COUNT(SEARCH(Sonderarbeit,$N32))&gt;=1)),C32="Ausgleich"),H32-F32,"")</f>
        <v/>
      </c>
      <c r="K32" s="91" t="str">
        <f>IF(AND(B32=Ref!$A$8,SUM(I26:I32)&lt;SUM(J26:J32)),"-","")</f>
        <v/>
      </c>
      <c r="L32" s="92" t="str">
        <f>IF(B32=Ref!$A$8,ABS(SUM(I26:I32)-SUM(J26:J32)),"")</f>
        <v/>
      </c>
      <c r="N32" s="181"/>
    </row>
    <row r="33" spans="1:14" ht="17.399999999999999" customHeight="1" x14ac:dyDescent="0.55000000000000004">
      <c r="A33" s="86">
        <v>15</v>
      </c>
      <c r="B33" s="85" t="str">
        <f t="shared" si="1"/>
        <v>Mittwoch</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3"/>
        <v>0.33333333333333331</v>
      </c>
      <c r="I33" s="89" t="str">
        <f>IF(AND(F33&gt;H33,OR(AND(OR($B33&lt;&gt;Ref!$A$7,$H$56&gt;0),OR($B33&lt;&gt;Ref!$A$8,$H$57&gt;0)),COUNT(SEARCH(Sonderarbeit,$N33))&gt;=1),ISNONTEXT(C33),C33&lt;&gt;""),F33-H33,"")</f>
        <v/>
      </c>
      <c r="J33" s="90" t="str">
        <f>IF(OR(AND(F33&lt;H33,OR(AND(OR($B33&lt;&gt;Ref!$A$7,$H$56&gt;0),OR($B33&lt;&gt;Ref!$A$8,$H$57&gt;0)),COUNT(SEARCH(Sonderarbeit,$N33))&gt;=1)),C33="Ausgleich"),H33-F33,"")</f>
        <v/>
      </c>
      <c r="K33" s="91" t="str">
        <f>IF(AND(B33=Ref!$A$8,SUM(I27:I33)&lt;SUM(J27:J33)),"-","")</f>
        <v/>
      </c>
      <c r="L33" s="92" t="str">
        <f>IF(B33=Ref!$A$8,ABS(SUM(I27:I33)-SUM(J27:J33)),"")</f>
        <v/>
      </c>
      <c r="N33" s="181"/>
    </row>
    <row r="34" spans="1:14" ht="17.399999999999999" customHeight="1" x14ac:dyDescent="0.55000000000000004">
      <c r="A34" s="86">
        <v>16</v>
      </c>
      <c r="B34" s="85" t="str">
        <f t="shared" si="1"/>
        <v>Donnerstag</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3"/>
        <v>0.33333333333333331</v>
      </c>
      <c r="I34" s="89" t="str">
        <f>IF(AND(F34&gt;H34,OR(AND(OR($B34&lt;&gt;Ref!$A$7,$H$56&gt;0),OR($B34&lt;&gt;Ref!$A$8,$H$57&gt;0)),COUNT(SEARCH(Sonderarbeit,$N34))&gt;=1),ISNONTEXT(C34),C34&lt;&gt;""),F34-H34,"")</f>
        <v/>
      </c>
      <c r="J34" s="90" t="str">
        <f>IF(OR(AND(F34&lt;H34,OR(AND(OR($B34&lt;&gt;Ref!$A$7,$H$56&gt;0),OR($B34&lt;&gt;Ref!$A$8,$H$57&gt;0)),COUNT(SEARCH(Sonderarbeit,$N34))&gt;=1)),C34="Ausgleich"),H34-F34,"")</f>
        <v/>
      </c>
      <c r="K34" s="91" t="str">
        <f>IF(AND(B34=Ref!$A$8,SUM(I28:I34)&lt;SUM(J28:J34)),"-","")</f>
        <v/>
      </c>
      <c r="L34" s="92" t="str">
        <f>IF(B34=Ref!$A$8,ABS(SUM(I28:I34)-SUM(J28:J34)),"")</f>
        <v/>
      </c>
      <c r="N34" s="181"/>
    </row>
    <row r="35" spans="1:14" ht="17.399999999999999" customHeight="1" x14ac:dyDescent="0.55000000000000004">
      <c r="A35" s="86">
        <v>17</v>
      </c>
      <c r="B35" s="85" t="str">
        <f t="shared" si="1"/>
        <v>Freitag</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3"/>
        <v>0.3125</v>
      </c>
      <c r="I35" s="89">
        <f>IF(AND(F35&gt;H35,OR(AND(OR($B35&lt;&gt;Ref!$A$7,$H$56&gt;0),OR($B35&lt;&gt;Ref!$A$8,$H$57&gt;0)),COUNT(SEARCH(Sonderarbeit,$N35))&gt;=1),ISNONTEXT(C35),C35&lt;&gt;""),F35-H35,"")</f>
        <v>2.083333333333337E-2</v>
      </c>
      <c r="J35" s="90" t="str">
        <f>IF(OR(AND(F35&lt;H35,OR(AND(OR($B35&lt;&gt;Ref!$A$7,$H$56&gt;0),OR($B35&lt;&gt;Ref!$A$8,$H$57&gt;0)),COUNT(SEARCH(Sonderarbeit,$N35))&gt;=1)),C35="Ausgleich"),H35-F35,"")</f>
        <v/>
      </c>
      <c r="K35" s="91" t="str">
        <f>IF(AND(B35=Ref!$A$8,SUM(I29:I35)&lt;SUM(J29:J35)),"-","")</f>
        <v/>
      </c>
      <c r="L35" s="92" t="str">
        <f>IF(B35=Ref!$A$8,ABS(SUM(I29:I35)-SUM(J29:J35)),"")</f>
        <v/>
      </c>
      <c r="N35" s="181"/>
    </row>
    <row r="36" spans="1:14" ht="17.399999999999999" customHeight="1" x14ac:dyDescent="0.55000000000000004">
      <c r="A36" s="86">
        <v>18</v>
      </c>
      <c r="B36" s="85" t="str">
        <f t="shared" si="1"/>
        <v>Samstag</v>
      </c>
      <c r="C36" s="87">
        <v>0.35416666666666669</v>
      </c>
      <c r="D36" s="213">
        <f t="array" ref="D36">IF(AND(COUNT(SEARCH(Sonderarbeit,$N36,1))&gt;=1,$B36=Ref!$A$7),Ref!$K$1,Ref!$K$2)</f>
        <v>0.70833333333333337</v>
      </c>
      <c r="E36" s="213">
        <f t="array" ref="E36">IF(AND(COUNT(SEARCH(Sonderarbeit,$N36))&gt;=1,$B36=Ref!$A$7),,Ref!$K$3)</f>
        <v>2.0833333333333332E-2</v>
      </c>
      <c r="F36" s="270">
        <f t="shared" si="2"/>
        <v>0.33333333333333337</v>
      </c>
      <c r="G36" s="271"/>
      <c r="H36" s="88">
        <f t="shared" si="3"/>
        <v>0</v>
      </c>
      <c r="I36" s="89" t="str">
        <f>IF(AND(F36&gt;H36,OR(AND(OR($B36&lt;&gt;Ref!$A$7,$H$56&gt;0),OR($B36&lt;&gt;Ref!$A$8,$H$57&gt;0)),COUNT(SEARCH(Sonderarbeit,$N36))&gt;=1),ISNONTEXT(C36),C36&lt;&gt;""),F36-H36,"")</f>
        <v/>
      </c>
      <c r="J36" s="90" t="str">
        <f>IF(OR(AND(F36&lt;H36,OR(AND(OR($B36&lt;&gt;Ref!$A$7,$H$56&gt;0),OR($B36&lt;&gt;Ref!$A$8,$H$57&gt;0)),COUNT(SEARCH(Sonderarbeit,$N36))&gt;=1)),C36="Ausgleich"),H36-F36,"")</f>
        <v/>
      </c>
      <c r="K36" s="91" t="str">
        <f>IF(AND(B36=Ref!$A$8,SUM(I30:I36)&lt;SUM(J30:J36)),"-","")</f>
        <v/>
      </c>
      <c r="L36" s="92" t="str">
        <f>IF(B36=Ref!$A$8,ABS(SUM(I30:I36)-SUM(J30:J36)),"")</f>
        <v/>
      </c>
      <c r="N36" s="181"/>
    </row>
    <row r="37" spans="1:14" ht="17.399999999999999" customHeight="1" x14ac:dyDescent="0.55000000000000004">
      <c r="A37" s="86">
        <v>19</v>
      </c>
      <c r="B37" s="85" t="str">
        <f t="shared" si="1"/>
        <v>Sonntag</v>
      </c>
      <c r="C37" s="87">
        <v>0.35416666666666669</v>
      </c>
      <c r="D37" s="213">
        <f t="array" ref="D37">IF(AND(COUNT(SEARCH(Sonderarbeit,$N37,1))&gt;=1,$B37=Ref!$A$7),Ref!$K$1,Ref!$K$2)</f>
        <v>0.70833333333333337</v>
      </c>
      <c r="E37" s="213">
        <f t="array" ref="E37">IF(AND(COUNT(SEARCH(Sonderarbeit,$N37))&gt;=1,$B37=Ref!$A$7),,Ref!$K$3)</f>
        <v>2.0833333333333332E-2</v>
      </c>
      <c r="F37" s="270">
        <f t="shared" si="2"/>
        <v>0.33333333333333337</v>
      </c>
      <c r="G37" s="271"/>
      <c r="H37" s="88">
        <f t="shared" si="3"/>
        <v>0</v>
      </c>
      <c r="I37" s="89" t="str">
        <f>IF(AND(F37&gt;H37,OR(AND(OR($B37&lt;&gt;Ref!$A$7,$H$56&gt;0),OR($B37&lt;&gt;Ref!$A$8,$H$57&gt;0)),COUNT(SEARCH(Sonderarbeit,$N37))&gt;=1),ISNONTEXT(C37),C37&lt;&gt;""),F37-H37,"")</f>
        <v/>
      </c>
      <c r="J37" s="90" t="str">
        <f>IF(OR(AND(F37&lt;H37,OR(AND(OR($B37&lt;&gt;Ref!$A$7,$H$56&gt;0),OR($B37&lt;&gt;Ref!$A$8,$H$57&gt;0)),COUNT(SEARCH(Sonderarbeit,$N37))&gt;=1)),C37="Ausgleich"),H37-F37,"")</f>
        <v/>
      </c>
      <c r="K37" s="91" t="str">
        <f>IF(AND(B37=Ref!$A$8,SUM(I31:I37)&lt;SUM(J31:J37)),"-","")</f>
        <v/>
      </c>
      <c r="L37" s="92">
        <f>IF(B37=Ref!$A$8,ABS(SUM(I31:I37)-SUM(J31:J37)),"")</f>
        <v>2.083333333333337E-2</v>
      </c>
      <c r="N37" s="181"/>
    </row>
    <row r="38" spans="1:14" ht="17.399999999999999" customHeight="1" x14ac:dyDescent="0.55000000000000004">
      <c r="A38" s="86">
        <v>20</v>
      </c>
      <c r="B38" s="85" t="str">
        <f t="shared" si="1"/>
        <v>Montag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0.33333333333333331</v>
      </c>
      <c r="I38" s="89" t="str">
        <f>IF(AND(F38&gt;H38,OR(AND(OR($B38&lt;&gt;Ref!$A$7,$H$56&gt;0),OR($B38&lt;&gt;Ref!$A$8,$H$57&gt;0)),COUNT(SEARCH(Sonderarbeit,$N38))&gt;=1),ISNONTEXT(C38),C38&lt;&gt;""),F38-H38,"")</f>
        <v/>
      </c>
      <c r="J38" s="90" t="str">
        <f>IF(OR(AND(F38&lt;H38,OR(AND(OR($B38&lt;&gt;Ref!$A$7,$H$56&gt;0),OR($B38&lt;&gt;Ref!$A$8,$H$57&gt;0)),COUNT(SEARCH(Sonderarbeit,$N38))&gt;=1)),C38="Ausgleich"),H38-F38,"")</f>
        <v/>
      </c>
      <c r="K38" s="91" t="str">
        <f>IF(AND(B38=Ref!$A$8,SUM(I32:I38)&lt;SUM(J32:J38)),"-","")</f>
        <v/>
      </c>
      <c r="L38" s="92" t="str">
        <f>IF(B38=Ref!$A$8,ABS(SUM(I32:I38)-SUM(J32:J38)),"")</f>
        <v/>
      </c>
      <c r="N38" s="181"/>
    </row>
    <row r="39" spans="1:14" ht="17.399999999999999" customHeight="1" x14ac:dyDescent="0.55000000000000004">
      <c r="A39" s="86">
        <v>21</v>
      </c>
      <c r="B39" s="85" t="str">
        <f t="shared" si="1"/>
        <v>Dienstag</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3"/>
        <v>0.33333333333333331</v>
      </c>
      <c r="I39" s="89" t="str">
        <f>IF(AND(F39&gt;H39,OR(AND(OR($B39&lt;&gt;Ref!$A$7,$H$56&gt;0),OR($B39&lt;&gt;Ref!$A$8,$H$57&gt;0)),COUNT(SEARCH(Sonderarbeit,$N39))&gt;=1),ISNONTEXT(C39),C39&lt;&gt;""),F39-H39,"")</f>
        <v/>
      </c>
      <c r="J39" s="90" t="str">
        <f>IF(OR(AND(F39&lt;H39,OR(AND(OR($B39&lt;&gt;Ref!$A$7,$H$56&gt;0),OR($B39&lt;&gt;Ref!$A$8,$H$57&gt;0)),COUNT(SEARCH(Sonderarbeit,$N39))&gt;=1)),C39="Ausgleich"),H39-F39,"")</f>
        <v/>
      </c>
      <c r="K39" s="91" t="str">
        <f>IF(AND(B39=Ref!$A$8,SUM(I33:I39)&lt;SUM(J33:J39)),"-","")</f>
        <v/>
      </c>
      <c r="L39" s="92" t="str">
        <f>IF(B39=Ref!$A$8,ABS(SUM(I33:I39)-SUM(J33:J39)),"")</f>
        <v/>
      </c>
      <c r="N39" s="181"/>
    </row>
    <row r="40" spans="1:14" ht="17.399999999999999" customHeight="1" x14ac:dyDescent="0.55000000000000004">
      <c r="A40" s="86">
        <v>22</v>
      </c>
      <c r="B40" s="85" t="str">
        <f t="shared" si="1"/>
        <v>Mittwoch</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0.33333333333333331</v>
      </c>
      <c r="I40" s="89" t="str">
        <f>IF(AND(F40&gt;H40,OR(AND(OR($B40&lt;&gt;Ref!$A$7,$H$56&gt;0),OR($B40&lt;&gt;Ref!$A$8,$H$57&gt;0)),COUNT(SEARCH(Sonderarbeit,$N40))&gt;=1),ISNONTEXT(C40),C40&lt;&gt;""),F40-H40,"")</f>
        <v/>
      </c>
      <c r="J40" s="90" t="str">
        <f>IF(OR(AND(F40&lt;H40,OR(AND(OR($B40&lt;&gt;Ref!$A$7,$H$56&gt;0),OR($B40&lt;&gt;Ref!$A$8,$H$57&gt;0)),COUNT(SEARCH(Sonderarbeit,$N40))&gt;=1)),C40="Ausgleich"),H40-F40,"")</f>
        <v/>
      </c>
      <c r="K40" s="91" t="str">
        <f>IF(AND(B40=Ref!$A$8,SUM(I34:I40)&lt;SUM(J34:J40)),"-","")</f>
        <v/>
      </c>
      <c r="L40" s="92" t="str">
        <f>IF(B40=Ref!$A$8,ABS(SUM(I34:I40)-SUM(J34:J40)),"")</f>
        <v/>
      </c>
      <c r="N40" s="181"/>
    </row>
    <row r="41" spans="1:14" ht="17.399999999999999" customHeight="1" x14ac:dyDescent="0.55000000000000004">
      <c r="A41" s="86">
        <v>23</v>
      </c>
      <c r="B41" s="85" t="str">
        <f t="shared" si="1"/>
        <v>Donnerstag</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0.33333333333333331</v>
      </c>
      <c r="I41" s="89" t="str">
        <f>IF(AND(F41&gt;H41,OR(AND(OR($B41&lt;&gt;Ref!$A$7,$H$56&gt;0),OR($B41&lt;&gt;Ref!$A$8,$H$57&gt;0)),COUNT(SEARCH(Sonderarbeit,$N41))&gt;=1),ISNONTEXT(C41),C41&lt;&gt;""),F41-H41,"")</f>
        <v/>
      </c>
      <c r="J41" s="90" t="str">
        <f>IF(OR(AND(F41&lt;H41,OR(AND(OR($B41&lt;&gt;Ref!$A$7,$H$56&gt;0),OR($B41&lt;&gt;Ref!$A$8,$H$57&gt;0)),COUNT(SEARCH(Sonderarbeit,$N41))&gt;=1)),C41="Ausgleich"),H41-F41,"")</f>
        <v/>
      </c>
      <c r="K41" s="91" t="str">
        <f>IF(AND(B41=Ref!$A$8,SUM(I35:I41)&lt;SUM(J35:J41)),"-","")</f>
        <v/>
      </c>
      <c r="L41" s="92" t="str">
        <f>IF(B41=Ref!$A$8,ABS(SUM(I35:I41)-SUM(J35:J41)),"")</f>
        <v/>
      </c>
      <c r="N41" s="181"/>
    </row>
    <row r="42" spans="1:14" ht="17.399999999999999" customHeight="1" x14ac:dyDescent="0.55000000000000004">
      <c r="A42" s="86">
        <v>24</v>
      </c>
      <c r="B42" s="85" t="str">
        <f t="shared" si="1"/>
        <v>Freitag</v>
      </c>
      <c r="C42" s="87">
        <v>0.35416666666666669</v>
      </c>
      <c r="D42" s="213">
        <f t="array" ref="D42">IF(AND(COUNT(SEARCH(Sonderarbeit,$N42,1))&gt;=1,$B42=Ref!$A$7),Ref!$K$1,Ref!$K$2)</f>
        <v>0.70833333333333337</v>
      </c>
      <c r="E42" s="213">
        <f t="array" ref="E42">IF(AND(COUNT(SEARCH(Sonderarbeit,$N42))&gt;=1,$B42=Ref!$A$7),,Ref!$K$3)</f>
        <v>2.0833333333333332E-2</v>
      </c>
      <c r="F42" s="270">
        <f t="shared" si="2"/>
        <v>0.33333333333333337</v>
      </c>
      <c r="G42" s="271"/>
      <c r="H42" s="88">
        <f t="shared" si="3"/>
        <v>0.3125</v>
      </c>
      <c r="I42" s="89">
        <f>IF(AND(F42&gt;H42,OR(AND(OR($B42&lt;&gt;Ref!$A$7,$H$56&gt;0),OR($B42&lt;&gt;Ref!$A$8,$H$57&gt;0)),COUNT(SEARCH(Sonderarbeit,$N42))&gt;=1),ISNONTEXT(C42),C42&lt;&gt;""),F42-H42,"")</f>
        <v>2.083333333333337E-2</v>
      </c>
      <c r="J42" s="90" t="str">
        <f>IF(OR(AND(F42&lt;H42,OR(AND(OR($B42&lt;&gt;Ref!$A$7,$H$56&gt;0),OR($B42&lt;&gt;Ref!$A$8,$H$57&gt;0)),COUNT(SEARCH(Sonderarbeit,$N42))&gt;=1)),C42="Ausgleich"),H42-F42,"")</f>
        <v/>
      </c>
      <c r="K42" s="91" t="str">
        <f>IF(AND(B42=Ref!$A$8,SUM(I36:I42)&lt;SUM(J36:J42)),"-","")</f>
        <v/>
      </c>
      <c r="L42" s="92" t="str">
        <f>IF(B42=Ref!$A$8,ABS(SUM(I36:I42)-SUM(J36:J42)),"")</f>
        <v/>
      </c>
      <c r="N42" s="181" t="str">
        <f>IF(Mantelbogen!$C$8="Geschäftsstelle", "2025 Ausw. Sitzung KA", "")</f>
        <v>2025 Ausw. Sitzung KA</v>
      </c>
    </row>
    <row r="43" spans="1:14" ht="17.399999999999999" customHeight="1" x14ac:dyDescent="0.55000000000000004">
      <c r="A43" s="86">
        <v>25</v>
      </c>
      <c r="B43" s="85" t="str">
        <f t="shared" si="1"/>
        <v>Samstag</v>
      </c>
      <c r="C43" s="87">
        <v>0.35416666666666669</v>
      </c>
      <c r="D43" s="213">
        <f t="array" ref="D43">IF(AND(COUNT(SEARCH(Sonderarbeit,$N43,1))&gt;=1,$B43=Ref!$A$7),Ref!$K$1,Ref!$K$2)</f>
        <v>0.35416666666666669</v>
      </c>
      <c r="E43" s="213">
        <f t="array" ref="E43">IF(AND(COUNT(SEARCH(Sonderarbeit,$N43))&gt;=1,$B43=Ref!$A$7),,Ref!$K$3)</f>
        <v>0</v>
      </c>
      <c r="F43" s="270">
        <f t="shared" si="2"/>
        <v>0</v>
      </c>
      <c r="G43" s="271"/>
      <c r="H43" s="88">
        <f t="shared" si="3"/>
        <v>0</v>
      </c>
      <c r="I43" s="89" t="str">
        <f>IF(AND(F43&gt;H43,OR(AND(OR($B43&lt;&gt;Ref!$A$7,$H$56&gt;0),OR($B43&lt;&gt;Ref!$A$8,$H$57&gt;0)),COUNT(SEARCH(Sonderarbeit,$N43))&gt;=1),ISNONTEXT(C43),C43&lt;&gt;""),F43-H43,"")</f>
        <v/>
      </c>
      <c r="J43" s="90" t="str">
        <f>IF(OR(AND(F43&lt;H43,OR(AND(OR($B43&lt;&gt;Ref!$A$7,$H$56&gt;0),OR($B43&lt;&gt;Ref!$A$8,$H$57&gt;0)),COUNT(SEARCH(Sonderarbeit,$N43))&gt;=1)),C43="Ausgleich"),H43-F43,"")</f>
        <v/>
      </c>
      <c r="K43" s="91" t="str">
        <f>IF(AND(B43=Ref!$A$8,SUM(I37:I43)&lt;SUM(J37:J43)),"-","")</f>
        <v/>
      </c>
      <c r="L43" s="92" t="str">
        <f>IF(B43=Ref!$A$8,ABS(SUM(I37:I43)-SUM(J37:J43)),"")</f>
        <v/>
      </c>
      <c r="M43" s="182"/>
      <c r="N43" s="181" t="str">
        <f>IF(Mantelbogen!$C$8="Geschäftsstelle", "2025 Ausw. Sitzung KA", "")</f>
        <v>2025 Ausw. Sitzung KA</v>
      </c>
    </row>
    <row r="44" spans="1:14" ht="17.399999999999999" customHeight="1" x14ac:dyDescent="0.55000000000000004">
      <c r="A44" s="86">
        <v>26</v>
      </c>
      <c r="B44" s="85" t="str">
        <f t="shared" si="1"/>
        <v>Sonntag</v>
      </c>
      <c r="C44" s="87">
        <v>0.35416666666666669</v>
      </c>
      <c r="D44" s="213">
        <f t="array" ref="D44">IF(AND(COUNT(SEARCH(Sonderarbeit,$N44,1))&gt;=1,$B44=Ref!$A$7),Ref!$K$1,Ref!$K$2)</f>
        <v>0.70833333333333337</v>
      </c>
      <c r="E44" s="213">
        <f t="array" ref="E44">IF(AND(COUNT(SEARCH(Sonderarbeit,$N44))&gt;=1,$B44=Ref!$A$7),,Ref!$K$3)</f>
        <v>2.0833333333333332E-2</v>
      </c>
      <c r="F44" s="270">
        <f t="shared" si="2"/>
        <v>0.33333333333333337</v>
      </c>
      <c r="G44" s="271"/>
      <c r="H44" s="88">
        <f t="shared" si="3"/>
        <v>0</v>
      </c>
      <c r="I44" s="89" t="str">
        <f>IF(AND(F44&gt;H44,OR(AND(OR($B44&lt;&gt;Ref!$A$7,$H$56&gt;0),OR($B44&lt;&gt;Ref!$A$8,$H$57&gt;0)),COUNT(SEARCH(Sonderarbeit,$N44))&gt;=1),ISNONTEXT(C44),C44&lt;&gt;""),F44-H44,"")</f>
        <v/>
      </c>
      <c r="J44" s="90" t="str">
        <f>IF(OR(AND(F44&lt;H44,OR(AND(OR($B44&lt;&gt;Ref!$A$7,$H$56&gt;0),OR($B44&lt;&gt;Ref!$A$8,$H$57&gt;0)),COUNT(SEARCH(Sonderarbeit,$N44))&gt;=1)),C44="Ausgleich"),H44-F44,"")</f>
        <v/>
      </c>
      <c r="K44" s="91" t="str">
        <f>IF(AND(B44=Ref!$A$8,SUM(I38:I44)&lt;SUM(J38:J44)),"-","")</f>
        <v/>
      </c>
      <c r="L44" s="92">
        <f>IF(B44=Ref!$A$8,ABS(SUM(I38:I44)-SUM(J38:J44)),"")</f>
        <v>2.083333333333337E-2</v>
      </c>
      <c r="N44" s="181"/>
    </row>
    <row r="45" spans="1:14" ht="17.399999999999999" customHeight="1" x14ac:dyDescent="0.55000000000000004">
      <c r="A45" s="86">
        <v>27</v>
      </c>
      <c r="B45" s="85" t="str">
        <f t="shared" si="1"/>
        <v>Montag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0.33333333333333331</v>
      </c>
      <c r="I45" s="89" t="str">
        <f>IF(AND(F45&gt;H45,OR(AND(OR($B45&lt;&gt;Ref!$A$7,$H$56&gt;0),OR($B45&lt;&gt;Ref!$A$8,$H$57&gt;0)),COUNT(SEARCH(Sonderarbeit,$N45))&gt;=1),ISNONTEXT(C45),C45&lt;&gt;""),F45-H45,"")</f>
        <v/>
      </c>
      <c r="J45" s="90" t="str">
        <f>IF(OR(AND(F45&lt;H45,OR(AND(OR($B45&lt;&gt;Ref!$A$7,$H$56&gt;0),OR($B45&lt;&gt;Ref!$A$8,$H$57&gt;0)),COUNT(SEARCH(Sonderarbeit,$N45))&gt;=1)),C45="Ausgleich"),H45-F45,"")</f>
        <v/>
      </c>
      <c r="K45" s="91" t="str">
        <f>IF(AND(B45=Ref!$A$8,SUM(I39:I45)&lt;SUM(J39:J45)),"-","")</f>
        <v/>
      </c>
      <c r="L45" s="92" t="str">
        <f>IF(B45=Ref!$A$8,ABS(SUM(I39:I45)-SUM(J39:J45)),"")</f>
        <v/>
      </c>
      <c r="M45" s="182"/>
      <c r="N45" s="181" t="s">
        <v>137</v>
      </c>
    </row>
    <row r="46" spans="1:14" ht="17.399999999999999" customHeight="1" x14ac:dyDescent="0.55000000000000004">
      <c r="A46" s="86">
        <v>28</v>
      </c>
      <c r="B46" s="85" t="str">
        <f t="shared" si="1"/>
        <v>Dienstag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0.33333333333333331</v>
      </c>
      <c r="I46" s="89" t="str">
        <f>IF(AND(F46&gt;H46,OR(AND(OR($B46&lt;&gt;Ref!$A$7,$H$56&gt;0),OR($B46&lt;&gt;Ref!$A$8,$H$57&gt;0)),COUNT(SEARCH(Sonderarbeit,$N46))&gt;=1),ISNONTEXT(C46),C46&lt;&gt;""),F46-H46,"")</f>
        <v/>
      </c>
      <c r="J46" s="90" t="str">
        <f>IF(OR(AND(F46&lt;H46,OR(AND(OR($B46&lt;&gt;Ref!$A$7,$H$56&gt;0),OR($B46&lt;&gt;Ref!$A$8,$H$57&gt;0)),COUNT(SEARCH(Sonderarbeit,$N46))&gt;=1)),C46="Ausgleich"),H46-F46,"")</f>
        <v/>
      </c>
      <c r="K46" s="91" t="str">
        <f>IF(AND(B46=Ref!$A$8,SUM(I40:I46)&lt;SUM(J40:J46)),"-","")</f>
        <v/>
      </c>
      <c r="L46" s="92" t="str">
        <f>IF(B46=Ref!$A$8,ABS(SUM(I40:I46)-SUM(J40:J46)),"")</f>
        <v/>
      </c>
      <c r="M46" s="182"/>
      <c r="N46" s="181"/>
    </row>
    <row r="47" spans="1:14" ht="17.399999999999999" customHeight="1" x14ac:dyDescent="0.55000000000000004">
      <c r="A47" s="86">
        <v>29</v>
      </c>
      <c r="B47" s="85" t="str">
        <f t="shared" si="1"/>
        <v>Mittwoch</v>
      </c>
      <c r="C47" s="87">
        <v>0.35416666666666669</v>
      </c>
      <c r="D47" s="213">
        <f t="array" ref="D47">IF(AND(COUNT(SEARCH(Sonderarbeit,$N47,1))&gt;=1,$B47=Ref!$A$7),Ref!$K$1,Ref!$K$2)</f>
        <v>0.70833333333333337</v>
      </c>
      <c r="E47" s="213">
        <f t="array" ref="E47">IF(AND(COUNT(SEARCH(Sonderarbeit,$N47))&gt;=1,$B47=Ref!$A$7),,Ref!$K$3)</f>
        <v>2.0833333333333332E-2</v>
      </c>
      <c r="F47" s="270">
        <f t="shared" si="2"/>
        <v>0.33333333333333337</v>
      </c>
      <c r="G47" s="271"/>
      <c r="H47" s="88">
        <f t="shared" si="3"/>
        <v>0.33333333333333331</v>
      </c>
      <c r="I47" s="89" t="str">
        <f>IF(AND(F47&gt;H47,OR(AND(OR($B47&lt;&gt;Ref!$A$7,$H$56&gt;0),OR($B47&lt;&gt;Ref!$A$8,$H$57&gt;0)),COUNT(SEARCH(Sonderarbeit,$N47))&gt;=1),ISNONTEXT(C47),C47&lt;&gt;""),F47-H47,"")</f>
        <v/>
      </c>
      <c r="J47" s="90" t="str">
        <f>IF(OR(AND(F47&lt;H47,OR(AND(OR($B47&lt;&gt;Ref!$A$7,$H$56&gt;0),OR($B47&lt;&gt;Ref!$A$8,$H$57&gt;0)),COUNT(SEARCH(Sonderarbeit,$N47))&gt;=1)),C47="Ausgleich"),H47-F47,"")</f>
        <v/>
      </c>
      <c r="K47" s="91" t="str">
        <f>IF(AND(B47=Ref!$A$8,SUM(I41:I47)&lt;SUM(J41:J47)),"-","")</f>
        <v/>
      </c>
      <c r="L47" s="92" t="str">
        <f>IF(B47=Ref!$A$8,ABS(SUM(I41:I47)-SUM(J41:J47)),"")</f>
        <v/>
      </c>
      <c r="N47" s="181"/>
    </row>
    <row r="48" spans="1:14" ht="17.399999999999999" customHeight="1" x14ac:dyDescent="0.55000000000000004">
      <c r="A48" s="86">
        <v>30</v>
      </c>
      <c r="B48" s="85" t="str">
        <f t="shared" si="1"/>
        <v>Donnerstag</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0.33333333333333331</v>
      </c>
      <c r="I48" s="89" t="str">
        <f>IF(AND(F48&gt;H48,OR(AND(OR($B48&lt;&gt;Ref!$A$7,$H$56&gt;0),OR($B48&lt;&gt;Ref!$A$8,$H$57&gt;0)),COUNT(SEARCH(Sonderarbeit,$N48))&gt;=1),ISNONTEXT(C48),C48&lt;&gt;""),F48-H48,"")</f>
        <v/>
      </c>
      <c r="J48" s="90" t="str">
        <f>IF(OR(AND(F48&lt;H48,OR(AND(OR($B48&lt;&gt;Ref!$A$7,$H$56&gt;0),OR($B48&lt;&gt;Ref!$A$8,$H$57&gt;0)),COUNT(SEARCH(Sonderarbeit,$N48))&gt;=1)),C48="Ausgleich"),H48-F48,"")</f>
        <v/>
      </c>
      <c r="K48" s="91" t="str">
        <f>IF(AND(B48=Ref!$A$8,SUM(I42:I48)&lt;SUM(J42:J48)),"-","")</f>
        <v/>
      </c>
      <c r="L48" s="92" t="str">
        <f>IF(B48=Ref!$A$8,ABS(SUM(I42:I48)-SUM(J42:J48)),"")</f>
        <v/>
      </c>
      <c r="N48" s="181"/>
    </row>
    <row r="49" spans="1:14" ht="17.399999999999999" customHeight="1" x14ac:dyDescent="0.55000000000000004">
      <c r="A49" s="86">
        <v>31</v>
      </c>
      <c r="B49" s="85" t="str">
        <f t="shared" si="1"/>
        <v>Freitag</v>
      </c>
      <c r="C49" s="87">
        <v>0.35416666666666669</v>
      </c>
      <c r="D49" s="213">
        <f t="array" ref="D49">IF(AND(COUNT(SEARCH(Sonderarbeit,$N49,1))&gt;=1,$B49=Ref!$A$7),Ref!$K$1,Ref!$K$2)</f>
        <v>0.70833333333333337</v>
      </c>
      <c r="E49" s="213">
        <f t="array" ref="E49">IF(AND(COUNT(SEARCH(Sonderarbeit,$N49))&gt;=1,$B49=Ref!$A$7),,Ref!$K$3)</f>
        <v>2.0833333333333332E-2</v>
      </c>
      <c r="F49" s="270">
        <f t="shared" si="2"/>
        <v>0.33333333333333337</v>
      </c>
      <c r="G49" s="271"/>
      <c r="H49" s="88">
        <f t="shared" si="3"/>
        <v>0.3125</v>
      </c>
      <c r="I49" s="89">
        <f>IF(AND(F49&gt;H49,OR(AND(OR($B49&lt;&gt;Ref!$A$7,$H$56&gt;0),OR($B49&lt;&gt;Ref!$A$8,$H$57&gt;0)),COUNT(SEARCH(Sonderarbeit,$N49))&gt;=1),ISNONTEXT(C49),C49&lt;&gt;""),F49-H49,"")</f>
        <v>2.083333333333337E-2</v>
      </c>
      <c r="J49" s="90" t="str">
        <f>IF(OR(AND(F49&lt;H49,OR(AND(OR($B49&lt;&gt;Ref!$A$7,$H$56&gt;0),OR($B49&lt;&gt;Ref!$A$8,$H$57&gt;0)),COUNT(SEARCH(Sonderarbeit,$N49))&gt;=1)),C49="Ausgleich"),H49-F49,"")</f>
        <v/>
      </c>
      <c r="K49" s="97" t="str">
        <f ca="1">IF(SUM(INDIRECT("I"&amp;ROW()-WEEKDAY(DATE(J$11,MONTH(I$11),A49),3)):I49) &lt; SUM(INDIRECT("j"&amp;ROW()-WEEKDAY(DATE(J$11,MONTH(I$11),A49),3)):J49),"-","")</f>
        <v/>
      </c>
      <c r="L49" s="96">
        <f ca="1">ABS(SUM(INDIRECT("I"&amp;ROW()-WEEKDAY(DATE(J$11,MONTH(I$11),A49),3)):I49)-SUM(INDIRECT("j"&amp;ROW()-WEEKDAY(DATE(J$11,MONTH(I$11),A49))):J49))</f>
        <v>2.083333333333337E-2</v>
      </c>
      <c r="N49" s="211" t="s">
        <v>135</v>
      </c>
    </row>
    <row r="50" spans="1:14" s="20" customFormat="1" ht="17.399999999999999" customHeight="1" thickBot="1" x14ac:dyDescent="0.35">
      <c r="A50" s="98" t="str">
        <f>Jan!A50</f>
        <v>Sonstige Zeiten laut beigefügter Aufstellung (s. Anlage):</v>
      </c>
      <c r="B50" s="172"/>
      <c r="C50" s="173"/>
      <c r="D50" s="101"/>
      <c r="E50" s="101"/>
      <c r="F50" s="101"/>
      <c r="G50" s="101"/>
      <c r="H50" s="165"/>
      <c r="I50" s="145">
        <v>0</v>
      </c>
      <c r="J50" s="146">
        <v>0</v>
      </c>
      <c r="K50" s="147"/>
      <c r="L50" s="148"/>
      <c r="M50" s="177"/>
      <c r="N50" s="181"/>
    </row>
    <row r="51" spans="1:14" ht="13" x14ac:dyDescent="0.3">
      <c r="A51" s="257" t="s">
        <v>3</v>
      </c>
      <c r="B51" s="257"/>
      <c r="C51" s="257"/>
      <c r="D51" s="257"/>
      <c r="E51" s="105"/>
      <c r="F51" s="105"/>
      <c r="G51" s="105"/>
      <c r="H51" s="166">
        <f>Sep!H50</f>
        <v>0.33333333333333331</v>
      </c>
      <c r="I51" s="273">
        <f>SUM(I17:I50)</f>
        <v>0.87500000000000155</v>
      </c>
      <c r="J51" s="275">
        <f>SUM(J17:J50)</f>
        <v>0</v>
      </c>
      <c r="K51" s="252" t="str">
        <f ca="1">IF(SUMIF(K19:K49,"",L19:L49)&lt;SUMIF(K19:K49,"-",L19:L49),"-","")</f>
        <v/>
      </c>
      <c r="L51" s="254">
        <f ca="1">ABS(SUMIF(K19:K49,"",L19:L49)-SUMIF(K19:K49,"-",L19:L49))</f>
        <v>8.3333333333333481E-2</v>
      </c>
    </row>
    <row r="52" spans="1:14" ht="13.5" thickBot="1" x14ac:dyDescent="0.35">
      <c r="A52" s="258"/>
      <c r="B52" s="258"/>
      <c r="C52" s="258"/>
      <c r="D52" s="258"/>
      <c r="E52" s="105"/>
      <c r="F52" s="105"/>
      <c r="G52" s="106" t="s">
        <v>12</v>
      </c>
      <c r="H52" s="167">
        <f>Sep!H51</f>
        <v>0.33333333333333331</v>
      </c>
      <c r="I52" s="274"/>
      <c r="J52" s="276"/>
      <c r="K52" s="253"/>
      <c r="L52" s="255"/>
    </row>
    <row r="53" spans="1:14" ht="13" x14ac:dyDescent="0.3">
      <c r="A53" s="258"/>
      <c r="B53" s="258"/>
      <c r="C53" s="258"/>
      <c r="D53" s="258"/>
      <c r="E53" s="105"/>
      <c r="F53" s="105"/>
      <c r="G53" s="107"/>
      <c r="H53" s="167">
        <f>Sep!H52</f>
        <v>0.33333333333333331</v>
      </c>
      <c r="I53" s="268">
        <f>IF(I51&gt;J51,I51-J51,0)</f>
        <v>0.87500000000000155</v>
      </c>
      <c r="J53" s="266" t="str">
        <f>IF(J51&gt;I51,J51-I51,"")</f>
        <v/>
      </c>
      <c r="K53" s="110"/>
      <c r="L53" s="110"/>
    </row>
    <row r="54" spans="1:14" ht="13.5" thickBot="1" x14ac:dyDescent="0.35">
      <c r="A54" s="265" t="s">
        <v>15</v>
      </c>
      <c r="B54" s="265"/>
      <c r="C54" s="265"/>
      <c r="D54" s="265"/>
      <c r="E54" s="109"/>
      <c r="F54" s="109"/>
      <c r="G54" s="106" t="s">
        <v>13</v>
      </c>
      <c r="H54" s="167">
        <f>Sep!H53</f>
        <v>0.33333333333333331</v>
      </c>
      <c r="I54" s="269"/>
      <c r="J54" s="267"/>
      <c r="K54" s="110"/>
      <c r="L54" s="110"/>
    </row>
    <row r="55" spans="1:14" ht="13.5" thickBot="1" x14ac:dyDescent="0.35">
      <c r="A55" s="257" t="s">
        <v>4</v>
      </c>
      <c r="B55" s="257"/>
      <c r="C55" s="257"/>
      <c r="D55" s="257"/>
      <c r="E55" s="109"/>
      <c r="F55" s="109"/>
      <c r="G55" s="109"/>
      <c r="H55" s="167">
        <f>Sep!H54</f>
        <v>0.3125</v>
      </c>
      <c r="I55" s="109"/>
      <c r="J55" s="109"/>
      <c r="K55" s="110"/>
      <c r="L55" s="110"/>
    </row>
    <row r="56" spans="1:14" ht="13.25" customHeight="1" x14ac:dyDescent="0.3">
      <c r="A56" s="258"/>
      <c r="B56" s="258"/>
      <c r="C56" s="258"/>
      <c r="D56" s="258"/>
      <c r="E56" s="149" t="str">
        <f>Jan!E56</f>
        <v xml:space="preserve"> </v>
      </c>
      <c r="F56" s="150"/>
      <c r="G56" s="151" t="str">
        <f>IF(E56=" ", " ", IF(Mantelbogen!D26=I11,Mantelbogen!C29,MIN(Sep!G57,Mantelbogen!C33)))</f>
        <v xml:space="preserve"> </v>
      </c>
      <c r="H56" s="168">
        <v>0</v>
      </c>
      <c r="I56" s="259" t="s">
        <v>123</v>
      </c>
      <c r="J56" s="260"/>
      <c r="K56" s="110"/>
      <c r="L56" s="110"/>
    </row>
    <row r="57" spans="1:14" ht="13.5" thickBot="1" x14ac:dyDescent="0.35">
      <c r="A57" s="258"/>
      <c r="B57" s="258"/>
      <c r="C57" s="258"/>
      <c r="D57" s="258"/>
      <c r="E57" s="149" t="str">
        <f>Jan!E57</f>
        <v xml:space="preserve"> </v>
      </c>
      <c r="F57" s="151"/>
      <c r="G57" s="151" t="str">
        <f>IF(E56=" ", " ", -COUNTIF(C19:C49, "Urlaub*" ))</f>
        <v xml:space="preserve"> </v>
      </c>
      <c r="H57" s="169">
        <v>0</v>
      </c>
      <c r="I57" s="261"/>
      <c r="J57" s="262"/>
      <c r="K57" s="110"/>
      <c r="L57" s="110"/>
    </row>
    <row r="58" spans="1:14" ht="24.5" customHeight="1" thickBot="1" x14ac:dyDescent="0.35">
      <c r="A58" s="265" t="s">
        <v>10</v>
      </c>
      <c r="B58" s="265"/>
      <c r="C58" s="265"/>
      <c r="D58" s="265"/>
      <c r="E58" s="152" t="str">
        <f>Jan!E58</f>
        <v xml:space="preserve"> </v>
      </c>
      <c r="F58" s="153"/>
      <c r="G58" s="154" t="str">
        <f>IF(E56=" ", " ", IF(Mantelbogen!C29 &gt; 0.0001, G56+G57, 0))</f>
        <v xml:space="preserve"> </v>
      </c>
      <c r="H58" s="195">
        <f>SUM(H51:H57)</f>
        <v>1.6458333333333333</v>
      </c>
      <c r="I58" s="263"/>
      <c r="J58" s="264"/>
      <c r="K58" s="105"/>
      <c r="L58" s="118" t="str">
        <f>Mantelbogen!D47</f>
        <v>10.01.2024  HAdW / G. Wolff</v>
      </c>
    </row>
    <row r="60" spans="1:14" x14ac:dyDescent="0.25">
      <c r="G60" s="256"/>
      <c r="H60" s="256"/>
      <c r="I60" s="256"/>
      <c r="J60" s="21"/>
    </row>
    <row r="61" spans="1:14" x14ac:dyDescent="0.25">
      <c r="G61" s="21"/>
      <c r="H61" s="21"/>
      <c r="I61" s="21"/>
      <c r="J61" s="21"/>
    </row>
    <row r="62" spans="1:14" x14ac:dyDescent="0.25">
      <c r="G62" s="21"/>
      <c r="H62" s="21"/>
    </row>
  </sheetData>
  <sheetProtection password="9BC9" sheet="1" objects="1" scenarios="1"/>
  <mergeCells count="63">
    <mergeCell ref="A1:E2"/>
    <mergeCell ref="A3:E3"/>
    <mergeCell ref="F19:G19"/>
    <mergeCell ref="F20:G20"/>
    <mergeCell ref="F21:G21"/>
    <mergeCell ref="A4:E6"/>
    <mergeCell ref="A11:B11"/>
    <mergeCell ref="A13:B13"/>
    <mergeCell ref="A15:A18"/>
    <mergeCell ref="B15:B18"/>
    <mergeCell ref="C15:C18"/>
    <mergeCell ref="D15:D18"/>
    <mergeCell ref="E15:E18"/>
    <mergeCell ref="F27:G27"/>
    <mergeCell ref="F26:G26"/>
    <mergeCell ref="F24:G24"/>
    <mergeCell ref="F25:G25"/>
    <mergeCell ref="F22:G22"/>
    <mergeCell ref="F23:G23"/>
    <mergeCell ref="J51:J52"/>
    <mergeCell ref="A52:D53"/>
    <mergeCell ref="A54:D54"/>
    <mergeCell ref="G60:I60"/>
    <mergeCell ref="A55:D55"/>
    <mergeCell ref="A56:D57"/>
    <mergeCell ref="I56:J58"/>
    <mergeCell ref="A58:D58"/>
    <mergeCell ref="J53:J54"/>
    <mergeCell ref="I53:I54"/>
    <mergeCell ref="I51:I52"/>
    <mergeCell ref="F46:G46"/>
    <mergeCell ref="F47:G47"/>
    <mergeCell ref="F48:G48"/>
    <mergeCell ref="F49:G49"/>
    <mergeCell ref="A51:D51"/>
    <mergeCell ref="F45:G45"/>
    <mergeCell ref="F34:G34"/>
    <mergeCell ref="F35:G35"/>
    <mergeCell ref="F36:G36"/>
    <mergeCell ref="F37:G37"/>
    <mergeCell ref="F38:G38"/>
    <mergeCell ref="F39:G39"/>
    <mergeCell ref="F40:G40"/>
    <mergeCell ref="F41:G41"/>
    <mergeCell ref="F42:G42"/>
    <mergeCell ref="F43:G43"/>
    <mergeCell ref="F44:G44"/>
    <mergeCell ref="K15:L16"/>
    <mergeCell ref="K17:L18"/>
    <mergeCell ref="K51:K52"/>
    <mergeCell ref="L51:L52"/>
    <mergeCell ref="G1:J7"/>
    <mergeCell ref="F33:G33"/>
    <mergeCell ref="I15:J15"/>
    <mergeCell ref="I17:I18"/>
    <mergeCell ref="J17:J18"/>
    <mergeCell ref="F15:G18"/>
    <mergeCell ref="H15:H18"/>
    <mergeCell ref="F29:G29"/>
    <mergeCell ref="F30:G30"/>
    <mergeCell ref="F31:G31"/>
    <mergeCell ref="F28:G28"/>
    <mergeCell ref="F32:G32"/>
  </mergeCells>
  <phoneticPr fontId="0" type="noConversion"/>
  <conditionalFormatting sqref="C19:C49">
    <cfRule type="expression" dxfId="76" priority="7">
      <formula>ISTEXT($C19)</formula>
    </cfRule>
  </conditionalFormatting>
  <conditionalFormatting sqref="F19:F49">
    <cfRule type="expression" dxfId="75" priority="11">
      <formula>AND(ISNONTEXT($C19),$F19 &gt; 0.666667)</formula>
    </cfRule>
  </conditionalFormatting>
  <conditionalFormatting sqref="A19:L49">
    <cfRule type="expression" dxfId="74" priority="5">
      <formula>AND(ISTEXT($C19),$C19&lt;&gt;"Kinderkrankentag",$C19&lt;&gt;"Urlaub",$C19&lt;&gt;"Krank",$C19&lt;&gt;"Ausgleich")</formula>
    </cfRule>
  </conditionalFormatting>
  <conditionalFormatting sqref="D19:H49">
    <cfRule type="expression" dxfId="73" priority="4">
      <formula>AND(ISTEXT($C19),OR($C19="Kinderkrankentag",$C19="Urlaub",$C19="Krank",$C19="Ausgleich"))</formula>
    </cfRule>
  </conditionalFormatting>
  <conditionalFormatting sqref="A19:A49 C19:L49">
    <cfRule type="expression" dxfId="72" priority="1">
      <formula>COUNT(SEARCH(Sonderarbeit,$N19))&gt;=1</formula>
    </cfRule>
  </conditionalFormatting>
  <conditionalFormatting sqref="D19:J49">
    <cfRule type="expression" dxfId="71" priority="3">
      <formula>AND(ISTEXT($C19),$C19&lt;&gt;"Kinderkrankentag",$C19&lt;&gt;"Urlaub",$C19&lt;&gt;"Krank",$C19&lt;&gt;"Ausgleich")</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182F249B-E543-40A1-B552-54198E0410D9}">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83E3D8DD-F284-4541-9EFB-034BB2D25985}">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 xmlns:xm="http://schemas.microsoft.com/office/excel/2006/main">
          <x14:cfRule type="expression" priority="6" id="{AD405274-C0E8-4F43-8824-95704D5C0FB9}">
            <xm:f>OR(AND($B19=Ref!$A$7,$H$56=0), AND($B19=Ref!$A$8,$H$57=0), NOT( ISERROR(FIND("feiertag",LOWER($C19)) ) ) )</xm:f>
            <x14:dxf>
              <fill>
                <patternFill patternType="solid">
                  <bgColor rgb="FF99CCFF"/>
                </patternFill>
              </fill>
            </x14:dxf>
          </x14:cfRule>
          <xm:sqref>A19:L49</xm:sqref>
        </x14:conditionalFormatting>
        <x14:conditionalFormatting xmlns:xm="http://schemas.microsoft.com/office/excel/2006/main">
          <x14:cfRule type="expression" priority="8" id="{8CF584F1-FA4C-4DE6-AE76-64B9039AA06F}">
            <xm:f>OR(AND($B19=Ref!$A$7, $H$56&lt;0.00001),AND($B19=Ref!$A$8, $H$57&lt;0.00001))</xm:f>
            <x14:dxf>
              <font>
                <color rgb="FF99CCFF"/>
              </font>
              <fill>
                <patternFill>
                  <bgColor rgb="FF99CCFF"/>
                </patternFill>
              </fill>
            </x14:dxf>
          </x14:cfRule>
          <xm:sqref>C19:J49</xm:sqref>
        </x14:conditionalFormatting>
        <x14:conditionalFormatting xmlns:xm="http://schemas.microsoft.com/office/excel/2006/main">
          <x14:cfRule type="expression" priority="9" id="{7BF2BF64-F16D-414B-AF57-2575414CE844}">
            <xm:f>AND($B19=Ref!$A$7, $H$56&gt;0.00001)</xm:f>
            <x14:dxf>
              <font>
                <b val="0"/>
                <i val="0"/>
                <color theme="1"/>
              </font>
            </x14:dxf>
          </x14:cfRule>
          <x14:cfRule type="expression" priority="10" id="{4BC36AB5-8436-4897-80F1-4960022A6622}">
            <xm:f>AND($B19=Ref!$A$8, $H$57&gt;0.00001)</xm:f>
            <x14:dxf>
              <font>
                <b val="0"/>
                <i val="0"/>
              </font>
            </x14:dxf>
          </x14:cfRule>
          <xm:sqref>C19:I49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D2B06850-EE6A-4F20-8967-975C4AC7FE30}">
          <x14:formula1>
            <xm:f>NOT(OFFSET(C19,0,2-COLUMN(C19))=Ref!$A$7)</xm:f>
          </x14:formula1>
          <xm:sqref>C19:E49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N61"/>
  <sheetViews>
    <sheetView zoomScaleNormal="100" workbookViewId="0">
      <selection activeCell="A4" sqref="A4:E6"/>
    </sheetView>
  </sheetViews>
  <sheetFormatPr defaultColWidth="11.54296875" defaultRowHeight="12.5" x14ac:dyDescent="0.25"/>
  <cols>
    <col min="1" max="1" width="5.54296875" style="4" customWidth="1"/>
    <col min="2" max="2" width="9.08984375" style="5" customWidth="1"/>
    <col min="3" max="3" width="13.1796875" style="5" bestFit="1" customWidth="1"/>
    <col min="4" max="4" width="9.08984375" style="5" customWidth="1"/>
    <col min="5" max="5" width="8.54296875" style="2" customWidth="1"/>
    <col min="6" max="6" width="7.08984375" style="2" customWidth="1"/>
    <col min="7" max="7" width="3.36328125" style="2" customWidth="1"/>
    <col min="8" max="8" width="9.08984375" style="2" customWidth="1"/>
    <col min="9" max="9" width="10.36328125" style="2" customWidth="1"/>
    <col min="10" max="10" width="10.1796875" style="2" customWidth="1"/>
    <col min="11" max="11" width="2.90625" style="2" customWidth="1"/>
    <col min="12" max="12" width="8.90625" style="2" customWidth="1"/>
    <col min="13" max="13" width="16.36328125" style="177" customWidth="1"/>
    <col min="14" max="14" width="18.1796875" style="181" customWidth="1"/>
    <col min="15" max="16384" width="11.54296875" style="2"/>
  </cols>
  <sheetData>
    <row r="1" spans="1:12" ht="15.5" x14ac:dyDescent="0.25">
      <c r="A1" s="289" t="s">
        <v>53</v>
      </c>
      <c r="B1" s="289"/>
      <c r="C1" s="289"/>
      <c r="D1" s="289"/>
      <c r="E1" s="289"/>
      <c r="F1" s="174"/>
      <c r="G1" s="277" t="s">
        <v>9</v>
      </c>
      <c r="H1" s="277"/>
      <c r="I1" s="277"/>
      <c r="J1" s="277"/>
    </row>
    <row r="2" spans="1:12" ht="15.5" x14ac:dyDescent="0.25">
      <c r="A2" s="289"/>
      <c r="B2" s="289"/>
      <c r="C2" s="289"/>
      <c r="D2" s="289"/>
      <c r="E2" s="289"/>
      <c r="F2" s="174"/>
      <c r="G2" s="277"/>
      <c r="H2" s="277"/>
      <c r="I2" s="277"/>
      <c r="J2" s="277"/>
    </row>
    <row r="3" spans="1:12" ht="13" x14ac:dyDescent="0.3">
      <c r="A3" s="288" t="s">
        <v>11</v>
      </c>
      <c r="B3" s="288"/>
      <c r="C3" s="288"/>
      <c r="D3" s="288"/>
      <c r="E3" s="288"/>
      <c r="F3" s="105"/>
      <c r="G3" s="277"/>
      <c r="H3" s="277"/>
      <c r="I3" s="277"/>
      <c r="J3" s="277"/>
    </row>
    <row r="4" spans="1:12" ht="13.25" customHeight="1" x14ac:dyDescent="0.3">
      <c r="A4" s="278" t="s">
        <v>5</v>
      </c>
      <c r="B4" s="278"/>
      <c r="C4" s="278"/>
      <c r="D4" s="278"/>
      <c r="E4" s="278"/>
      <c r="F4" s="157"/>
      <c r="G4" s="277"/>
      <c r="H4" s="277"/>
      <c r="I4" s="277"/>
      <c r="J4" s="277"/>
    </row>
    <row r="5" spans="1:12" ht="6" customHeight="1" x14ac:dyDescent="0.3">
      <c r="A5" s="278"/>
      <c r="B5" s="278"/>
      <c r="C5" s="278"/>
      <c r="D5" s="278"/>
      <c r="E5" s="278"/>
      <c r="F5" s="157"/>
      <c r="G5" s="277"/>
      <c r="H5" s="277"/>
      <c r="I5" s="277"/>
      <c r="J5" s="277"/>
    </row>
    <row r="6" spans="1:12" ht="13.25" customHeight="1" x14ac:dyDescent="0.3">
      <c r="A6" s="278"/>
      <c r="B6" s="278"/>
      <c r="C6" s="278"/>
      <c r="D6" s="278"/>
      <c r="E6" s="278"/>
      <c r="F6" s="157"/>
      <c r="G6" s="277"/>
      <c r="H6" s="277"/>
      <c r="I6" s="277"/>
      <c r="J6" s="277"/>
    </row>
    <row r="7" spans="1:12" ht="13.25" customHeight="1" x14ac:dyDescent="0.25">
      <c r="A7" s="6"/>
      <c r="B7" s="6"/>
      <c r="C7" s="6"/>
      <c r="D7" s="6"/>
      <c r="E7" s="6"/>
      <c r="F7" s="6"/>
      <c r="G7" s="277"/>
      <c r="H7" s="277"/>
      <c r="I7" s="277"/>
      <c r="J7" s="277"/>
    </row>
    <row r="8" spans="1:12" ht="6" customHeight="1" thickBot="1" x14ac:dyDescent="0.3">
      <c r="A8" s="7"/>
      <c r="B8" s="8"/>
      <c r="C8" s="8"/>
      <c r="D8" s="8"/>
      <c r="E8" s="9"/>
      <c r="F8" s="9"/>
      <c r="G8" s="9"/>
      <c r="H8" s="9"/>
      <c r="I8" s="10"/>
      <c r="J8" s="10"/>
      <c r="K8" s="11"/>
      <c r="L8" s="12"/>
    </row>
    <row r="9" spans="1:12" ht="6" customHeight="1" x14ac:dyDescent="0.25">
      <c r="A9" s="13"/>
      <c r="B9" s="14"/>
      <c r="C9" s="14"/>
      <c r="D9" s="14"/>
      <c r="E9" s="15"/>
      <c r="F9" s="15"/>
      <c r="G9" s="15"/>
      <c r="H9" s="15"/>
      <c r="I9" s="16"/>
      <c r="J9" s="16"/>
      <c r="K9" s="17"/>
      <c r="L9" s="18"/>
    </row>
    <row r="10" spans="1:12" ht="13" x14ac:dyDescent="0.3">
      <c r="A10" s="119"/>
      <c r="B10" s="120"/>
      <c r="C10" s="120"/>
      <c r="D10" s="120"/>
      <c r="E10" s="121"/>
      <c r="F10" s="121"/>
      <c r="G10" s="121"/>
      <c r="H10" s="105"/>
      <c r="I10" s="122"/>
      <c r="J10" s="122"/>
      <c r="K10" s="123"/>
      <c r="L10" s="124"/>
    </row>
    <row r="11" spans="1:12" ht="13" x14ac:dyDescent="0.3">
      <c r="A11" s="290" t="s">
        <v>6</v>
      </c>
      <c r="B11" s="290"/>
      <c r="C11" s="125" t="str">
        <f>Okt!C11</f>
        <v>ATHENE, Pallas</v>
      </c>
      <c r="D11" s="126"/>
      <c r="E11" s="127"/>
      <c r="F11" s="128"/>
      <c r="G11" s="128" t="s">
        <v>8</v>
      </c>
      <c r="H11" s="129"/>
      <c r="I11" s="130">
        <f>DATE(J11,11,1)</f>
        <v>45962</v>
      </c>
      <c r="J11" s="131">
        <f>Jan!J11</f>
        <v>2025</v>
      </c>
      <c r="K11" s="132"/>
      <c r="L11" s="133"/>
    </row>
    <row r="12" spans="1:12" ht="13" x14ac:dyDescent="0.3">
      <c r="A12" s="134"/>
      <c r="B12" s="124"/>
      <c r="C12" s="135"/>
      <c r="D12" s="136"/>
      <c r="E12" s="128"/>
      <c r="F12" s="128"/>
      <c r="G12" s="121"/>
      <c r="I12" s="175"/>
      <c r="J12" s="175"/>
      <c r="K12" s="175"/>
      <c r="L12" s="175"/>
    </row>
    <row r="13" spans="1:12" ht="13" x14ac:dyDescent="0.3">
      <c r="A13" s="290" t="s">
        <v>7</v>
      </c>
      <c r="B13" s="290"/>
      <c r="C13" s="125" t="str">
        <f>Okt!C13</f>
        <v>Geschäftsstelle</v>
      </c>
      <c r="D13" s="139"/>
      <c r="E13" s="127"/>
      <c r="F13" s="140"/>
      <c r="G13" s="140"/>
      <c r="H13" s="19"/>
      <c r="I13" s="176"/>
      <c r="J13" s="176"/>
      <c r="K13" s="176"/>
      <c r="L13" s="176"/>
    </row>
    <row r="14" spans="1:12" ht="13.5" thickBot="1" x14ac:dyDescent="0.35">
      <c r="A14" s="134"/>
      <c r="B14" s="141"/>
      <c r="C14" s="141"/>
      <c r="D14" s="141"/>
      <c r="E14" s="105"/>
      <c r="F14" s="105"/>
      <c r="G14" s="105"/>
      <c r="H14" s="105"/>
      <c r="I14" s="105"/>
      <c r="J14" s="105"/>
      <c r="K14" s="123"/>
      <c r="L14" s="124"/>
    </row>
    <row r="15" spans="1:12" ht="13.25" customHeight="1" x14ac:dyDescent="0.25">
      <c r="A15" s="295"/>
      <c r="B15" s="295" t="s">
        <v>14</v>
      </c>
      <c r="C15" s="295" t="s">
        <v>130</v>
      </c>
      <c r="D15" s="295" t="s">
        <v>19</v>
      </c>
      <c r="E15" s="295" t="s">
        <v>16</v>
      </c>
      <c r="F15" s="283" t="s">
        <v>44</v>
      </c>
      <c r="G15" s="283"/>
      <c r="H15" s="279" t="s">
        <v>45</v>
      </c>
      <c r="I15" s="285" t="s">
        <v>0</v>
      </c>
      <c r="J15" s="285"/>
      <c r="K15" s="244" t="s">
        <v>43</v>
      </c>
      <c r="L15" s="245"/>
    </row>
    <row r="16" spans="1:12" ht="13" thickBot="1" x14ac:dyDescent="0.3">
      <c r="A16" s="296"/>
      <c r="B16" s="296"/>
      <c r="C16" s="296"/>
      <c r="D16" s="296"/>
      <c r="E16" s="296"/>
      <c r="F16" s="283"/>
      <c r="G16" s="283"/>
      <c r="H16" s="280"/>
      <c r="I16" s="84" t="s">
        <v>1</v>
      </c>
      <c r="J16" s="84" t="s">
        <v>2</v>
      </c>
      <c r="K16" s="246"/>
      <c r="L16" s="247"/>
    </row>
    <row r="17" spans="1:14" ht="13" customHeight="1" thickBot="1" x14ac:dyDescent="0.3">
      <c r="A17" s="296"/>
      <c r="B17" s="296"/>
      <c r="C17" s="296"/>
      <c r="D17" s="296"/>
      <c r="E17" s="296"/>
      <c r="F17" s="283"/>
      <c r="G17" s="283"/>
      <c r="H17" s="280"/>
      <c r="I17" s="286">
        <f>IF(Mantelbogen!D26=I11,Mantelbogen!C28,Okt!I53)</f>
        <v>0.87500000000000155</v>
      </c>
      <c r="J17" s="287" t="str">
        <f>IF(Mantelbogen!D26=I11,Mantelbogen!D28,Okt!J53)</f>
        <v/>
      </c>
      <c r="K17" s="248" t="str">
        <f>IF(I17/H57 &gt; 1, I17/H57, " " )</f>
        <v xml:space="preserve"> </v>
      </c>
      <c r="L17" s="249"/>
    </row>
    <row r="18" spans="1:14" ht="13" customHeight="1" thickBot="1" x14ac:dyDescent="0.3">
      <c r="A18" s="298"/>
      <c r="B18" s="297"/>
      <c r="C18" s="297"/>
      <c r="D18" s="297"/>
      <c r="E18" s="297"/>
      <c r="F18" s="283"/>
      <c r="G18" s="283"/>
      <c r="H18" s="281"/>
      <c r="I18" s="286"/>
      <c r="J18" s="287"/>
      <c r="K18" s="250"/>
      <c r="L18" s="251"/>
    </row>
    <row r="19" spans="1:14" ht="17.399999999999999" customHeight="1" x14ac:dyDescent="0.55000000000000004">
      <c r="A19" s="86">
        <v>1</v>
      </c>
      <c r="B19" s="85" t="str">
        <f>TEXT(DATE(J$11,MONTH(I$11),A19),Textcode)</f>
        <v>Samstag</v>
      </c>
      <c r="C19" s="87" t="s">
        <v>20</v>
      </c>
      <c r="D19" s="213">
        <f t="array" ref="D19">IF(AND(COUNT(SEARCH(Sonderarbeit,$N19,1))&gt;=1,$B19=Ref!$A$7),Ref!$K$1,Ref!$K$2)</f>
        <v>0.70833333333333337</v>
      </c>
      <c r="E19" s="213">
        <f t="array" ref="E19">IF(AND(COUNT(SEARCH(Sonderarbeit,$N19))&gt;=1,$B19=Ref!$A$7),,Ref!$K$3)</f>
        <v>2.0833333333333332E-2</v>
      </c>
      <c r="F19" s="270">
        <f>IF(ISTEXT(C19),,D19-C19-E19)</f>
        <v>0</v>
      </c>
      <c r="G19" s="271"/>
      <c r="H19" s="88">
        <f t="shared" ref="H19:H35" si="0">IF(AND(ISTEXT(C19),ISERR(SEARCH("ausgleich",C19,1))),,INDEX(H$50:H$57,WEEKDAY(DATE(J$11,MONTH(I$11),A19),2),1,1))</f>
        <v>0</v>
      </c>
      <c r="I19" s="89" t="str">
        <f t="array" ref="I19">IF(AND(F19&gt;H19,OR(AND(OR($B19&lt;&gt;Ref!$A$7,$H$55&gt;0),OR($B19&lt;&gt;Ref!$A$8,$H$56&gt;0)),COUNT(SEARCH(Sonderarbeit,$N19))&gt;=1),ISNONTEXT(C19),C19&lt;&gt;""),F19-H19,"")</f>
        <v/>
      </c>
      <c r="J19" s="90" t="str">
        <f t="array" ref="J19">IF(OR(AND(F19&lt;H19,OR(AND(OR($B19&lt;&gt;Ref!$A$7,$H$55&gt;0),OR($B19&lt;&gt;Ref!$A$8,$H$56&gt;0)),COUNT(SEARCH(Sonderarbeit,$N19))&gt;=1)),C19="Ausgleich"),H19-F19,"")</f>
        <v/>
      </c>
      <c r="K19" s="170" t="str">
        <f>IF(AND(B19=Ref!$A$8,SUM(I19:I19)&lt;SUM(J19:J19)),"-","")</f>
        <v/>
      </c>
      <c r="L19" s="171" t="str">
        <f>IF(B19=Ref!$A$8,ABS(SUM(I19:I19)-SUM(J19:J19)),"")</f>
        <v/>
      </c>
      <c r="N19" s="182"/>
    </row>
    <row r="20" spans="1:14" ht="17.399999999999999" customHeight="1" x14ac:dyDescent="0.55000000000000004">
      <c r="A20" s="86">
        <v>2</v>
      </c>
      <c r="B20" s="85" t="str">
        <f t="shared" ref="B20:B48" si="1">TEXT(DATE(J$11,MONTH(I$11),A20),Textcode)</f>
        <v>Sonntag</v>
      </c>
      <c r="C20" s="87">
        <v>0.35416666666666669</v>
      </c>
      <c r="D20" s="213">
        <f t="array" ref="D20">IF(AND(COUNT(SEARCH(Sonderarbeit,$N20,1))&gt;=1,$B20=Ref!$A$7),Ref!$K$1,Ref!$K$2)</f>
        <v>0.70833333333333337</v>
      </c>
      <c r="E20" s="213">
        <f t="array" ref="E20">IF(AND(COUNT(SEARCH(Sonderarbeit,$N20))&gt;=1,$B20=Ref!$A$7),,Ref!$K$3)</f>
        <v>2.0833333333333332E-2</v>
      </c>
      <c r="F20" s="270">
        <f t="shared" ref="F20:F48" si="2">IF(ISTEXT(C20),,D20-C20-E20)</f>
        <v>0.33333333333333337</v>
      </c>
      <c r="G20" s="271"/>
      <c r="H20" s="88">
        <f t="shared" si="0"/>
        <v>0</v>
      </c>
      <c r="I20" s="89" t="str">
        <f t="array" ref="I20">IF(AND(F20&gt;H20,OR(AND(OR($B20&lt;&gt;Ref!$A$7,$H$55&gt;0),OR($B20&lt;&gt;Ref!$A$8,$H$56&gt;0)),COUNT(SEARCH(Sonderarbeit,$N20))&gt;=1),ISNONTEXT(C20),C20&lt;&gt;""),F20-H20,"")</f>
        <v/>
      </c>
      <c r="J20" s="90" t="str">
        <f t="array" ref="J20">IF(OR(AND(F20&lt;H20,OR(AND(OR($B20&lt;&gt;Ref!$A$7,$H$55&gt;0),OR($B20&lt;&gt;Ref!$A$8,$H$56&gt;0)),COUNT(SEARCH(Sonderarbeit,$N20))&gt;=1)),C20="Ausgleich"),H20-F20,"")</f>
        <v/>
      </c>
      <c r="K20" s="91" t="str">
        <f>IF(AND(B20=Ref!$A$8,SUM(I19:I20)&lt;SUM(J19:J20)),"-","")</f>
        <v/>
      </c>
      <c r="L20" s="92">
        <f>IF(B20=Ref!$A$8,ABS(SUM(I19:I20)-SUM(J19:J20)),"")</f>
        <v>0</v>
      </c>
      <c r="M20" s="181"/>
    </row>
    <row r="21" spans="1:14" ht="17.399999999999999" customHeight="1" x14ac:dyDescent="0.55000000000000004">
      <c r="A21" s="93">
        <v>3</v>
      </c>
      <c r="B21" s="85" t="str">
        <f t="shared" si="1"/>
        <v>Montag</v>
      </c>
      <c r="C21" s="87">
        <v>0.35416666666666669</v>
      </c>
      <c r="D21" s="213">
        <f t="array" ref="D21">IF(AND(COUNT(SEARCH(Sonderarbeit,$N21,1))&gt;=1,$B21=Ref!$A$7),Ref!$K$1,Ref!$K$2)</f>
        <v>0.70833333333333337</v>
      </c>
      <c r="E21" s="213">
        <f t="array" ref="E21">IF(AND(COUNT(SEARCH(Sonderarbeit,$N21))&gt;=1,$B21=Ref!$A$7),,Ref!$K$3)</f>
        <v>2.0833333333333332E-2</v>
      </c>
      <c r="F21" s="270">
        <f t="shared" si="2"/>
        <v>0.33333333333333337</v>
      </c>
      <c r="G21" s="271"/>
      <c r="H21" s="88">
        <f t="shared" si="0"/>
        <v>0.33333333333333331</v>
      </c>
      <c r="I21" s="89" t="str">
        <f t="array" ref="I21">IF(AND(F21&gt;H21,OR(AND(OR($B21&lt;&gt;Ref!$A$7,$H$55&gt;0),OR($B21&lt;&gt;Ref!$A$8,$H$56&gt;0)),COUNT(SEARCH(Sonderarbeit,$N21))&gt;=1),ISNONTEXT(C21),C21&lt;&gt;""),F21-H21,"")</f>
        <v/>
      </c>
      <c r="J21" s="90" t="str">
        <f t="array" ref="J21">IF(OR(AND(F21&lt;H21,OR(AND(OR($B21&lt;&gt;Ref!$A$7,$H$55&gt;0),OR($B21&lt;&gt;Ref!$A$8,$H$56&gt;0)),COUNT(SEARCH(Sonderarbeit,$N21))&gt;=1)),C21="Ausgleich"),H21-F21,"")</f>
        <v/>
      </c>
      <c r="K21" s="91" t="str">
        <f>IF(AND(B21=Ref!$A$8,SUM(I19:I21)&lt;SUM(J19:J21)),"-","")</f>
        <v/>
      </c>
      <c r="L21" s="92" t="str">
        <f>IF(B21=Ref!$A$8,ABS(SUM(I19:I21)-SUM(J19:J21)),"")</f>
        <v/>
      </c>
    </row>
    <row r="22" spans="1:14" ht="17.399999999999999" customHeight="1" x14ac:dyDescent="0.55000000000000004">
      <c r="A22" s="94">
        <v>4</v>
      </c>
      <c r="B22" s="85" t="str">
        <f t="shared" si="1"/>
        <v>Dienstag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0.33333333333333331</v>
      </c>
      <c r="I22" s="89" t="str">
        <f t="array" ref="I22">IF(AND(F22&gt;H22,OR(AND(OR($B22&lt;&gt;Ref!$A$7,$H$55&gt;0),OR($B22&lt;&gt;Ref!$A$8,$H$56&gt;0)),COUNT(SEARCH(Sonderarbeit,$N22))&gt;=1),ISNONTEXT(C22),C22&lt;&gt;""),F22-H22,"")</f>
        <v/>
      </c>
      <c r="J22" s="90" t="str">
        <f t="array" ref="J22">IF(OR(AND(F22&lt;H22,OR(AND(OR($B22&lt;&gt;Ref!$A$7,$H$55&gt;0),OR($B22&lt;&gt;Ref!$A$8,$H$56&gt;0)),COUNT(SEARCH(Sonderarbeit,$N22))&gt;=1)),C22="Ausgleich"),H22-F22,"")</f>
        <v/>
      </c>
      <c r="K22" s="91" t="str">
        <f>IF(AND(B22=Ref!$A$8,SUM(I19:I22)&lt;SUM(J19:J22)),"-","")</f>
        <v/>
      </c>
      <c r="L22" s="92" t="str">
        <f>IF(B22=Ref!$A$8,ABS(SUM(I19:I22)-SUM(J19:J22)),"")</f>
        <v/>
      </c>
    </row>
    <row r="23" spans="1:14" ht="17.399999999999999" customHeight="1" x14ac:dyDescent="0.55000000000000004">
      <c r="A23" s="94">
        <v>5</v>
      </c>
      <c r="B23" s="85" t="str">
        <f t="shared" si="1"/>
        <v>Mittwoch</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0.33333333333333331</v>
      </c>
      <c r="I23" s="89" t="str">
        <f t="array" ref="I23">IF(AND(F23&gt;H23,OR(AND(OR($B23&lt;&gt;Ref!$A$7,$H$55&gt;0),OR($B23&lt;&gt;Ref!$A$8,$H$56&gt;0)),COUNT(SEARCH(Sonderarbeit,$N23))&gt;=1),ISNONTEXT(C23),C23&lt;&gt;""),F23-H23,"")</f>
        <v/>
      </c>
      <c r="J23" s="90" t="str">
        <f t="array" ref="J23">IF(OR(AND(F23&lt;H23,OR(AND(OR($B23&lt;&gt;Ref!$A$7,$H$55&gt;0),OR($B23&lt;&gt;Ref!$A$8,$H$56&gt;0)),COUNT(SEARCH(Sonderarbeit,$N23))&gt;=1)),C23="Ausgleich"),H23-F23,"")</f>
        <v/>
      </c>
      <c r="K23" s="91" t="str">
        <f>IF(AND(B23=Ref!$A$8,SUM(I19:I23)&lt;SUM(J19:J23)),"-","")</f>
        <v/>
      </c>
      <c r="L23" s="92" t="str">
        <f>IF(B23=Ref!$A$8,ABS(SUM(I19:I23)-SUM(J19:J23)),"")</f>
        <v/>
      </c>
    </row>
    <row r="24" spans="1:14" ht="17.399999999999999" customHeight="1" x14ac:dyDescent="0.55000000000000004">
      <c r="A24" s="86">
        <v>6</v>
      </c>
      <c r="B24" s="85" t="str">
        <f t="shared" si="1"/>
        <v>Donnerstag</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 t="shared" si="0"/>
        <v>0.33333333333333331</v>
      </c>
      <c r="I24" s="89" t="str">
        <f t="array" ref="I24">IF(AND(F24&gt;H24,OR(AND(OR($B24&lt;&gt;Ref!$A$7,$H$55&gt;0),OR($B24&lt;&gt;Ref!$A$8,$H$56&gt;0)),COUNT(SEARCH(Sonderarbeit,$N24))&gt;=1),ISNONTEXT(C24),C24&lt;&gt;""),F24-H24,"")</f>
        <v/>
      </c>
      <c r="J24" s="90" t="str">
        <f t="array" ref="J24">IF(OR(AND(F24&lt;H24,OR(AND(OR($B24&lt;&gt;Ref!$A$7,$H$55&gt;0),OR($B24&lt;&gt;Ref!$A$8,$H$56&gt;0)),COUNT(SEARCH(Sonderarbeit,$N24))&gt;=1)),C24="Ausgleich"),H24-F24,"")</f>
        <v/>
      </c>
      <c r="K24" s="91" t="str">
        <f>IF(AND(B24=Ref!$A$8,SUM(I19:I24)&lt;SUM(J19:J24)),"-","")</f>
        <v/>
      </c>
      <c r="L24" s="92" t="str">
        <f>IF(B24=Ref!$A$8,ABS(SUM(I19:I24)-SUM(J19:J24)),"")</f>
        <v/>
      </c>
    </row>
    <row r="25" spans="1:14" ht="17.399999999999999" customHeight="1" x14ac:dyDescent="0.55000000000000004">
      <c r="A25" s="94">
        <v>7</v>
      </c>
      <c r="B25" s="85" t="str">
        <f t="shared" si="1"/>
        <v>Freitag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si="0"/>
        <v>0.3125</v>
      </c>
      <c r="I25" s="89">
        <f t="array" ref="I25">IF(AND(F25&gt;H25,OR(AND(OR($B25&lt;&gt;Ref!$A$7,$H$55&gt;0),OR($B25&lt;&gt;Ref!$A$8,$H$56&gt;0)),COUNT(SEARCH(Sonderarbeit,$N25))&gt;=1),ISNONTEXT(C25),C25&lt;&gt;""),F25-H25,"")</f>
        <v>2.083333333333337E-2</v>
      </c>
      <c r="J25" s="90" t="str">
        <f t="array" ref="J25">IF(OR(AND(F25&lt;H25,OR(AND(OR($B25&lt;&gt;Ref!$A$7,$H$55&gt;0),OR($B25&lt;&gt;Ref!$A$8,$H$56&gt;0)),COUNT(SEARCH(Sonderarbeit,$N25))&gt;=1)),C25="Ausgleich"),H25-F25,"")</f>
        <v/>
      </c>
      <c r="K25" s="91" t="str">
        <f>IF(AND(B25=Ref!$A$8,SUM(I19:I25)&lt;SUM(J19:J25)),"-","")</f>
        <v/>
      </c>
      <c r="L25" s="92" t="str">
        <f>IF(B25=Ref!$A$8,ABS(SUM(I19:I25)-SUM(J19:J25)),"")</f>
        <v/>
      </c>
    </row>
    <row r="26" spans="1:14" ht="17.399999999999999" customHeight="1" x14ac:dyDescent="0.55000000000000004">
      <c r="A26" s="94">
        <v>8</v>
      </c>
      <c r="B26" s="85" t="str">
        <f t="shared" si="1"/>
        <v>Samstag</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0"/>
        <v>0</v>
      </c>
      <c r="I26" s="89" t="str">
        <f t="array" ref="I26">IF(AND(F26&gt;H26,OR(AND(OR($B26&lt;&gt;Ref!$A$7,$H$55&gt;0),OR($B26&lt;&gt;Ref!$A$8,$H$56&gt;0)),COUNT(SEARCH(Sonderarbeit,$N26))&gt;=1),ISNONTEXT(C26),C26&lt;&gt;""),F26-H26,"")</f>
        <v/>
      </c>
      <c r="J26" s="90" t="str">
        <f t="array" ref="J26">IF(OR(AND(F26&lt;H26,OR(AND(OR($B26&lt;&gt;Ref!$A$7,$H$55&gt;0),OR($B26&lt;&gt;Ref!$A$8,$H$56&gt;0)),COUNT(SEARCH(Sonderarbeit,$N26))&gt;=1)),C26="Ausgleich"),H26-F26,"")</f>
        <v/>
      </c>
      <c r="K26" s="91" t="str">
        <f>IF(AND(B26=Ref!$A$8,SUM(I20:I26)&lt;SUM(J20:J26)),"-","")</f>
        <v/>
      </c>
      <c r="L26" s="92" t="str">
        <f>IF(B26=Ref!$A$8,ABS(SUM(I20:I26)-SUM(J20:J26)),"")</f>
        <v/>
      </c>
    </row>
    <row r="27" spans="1:14" ht="17.399999999999999" customHeight="1" x14ac:dyDescent="0.55000000000000004">
      <c r="A27" s="86">
        <v>9</v>
      </c>
      <c r="B27" s="85" t="str">
        <f t="shared" si="1"/>
        <v>Sonntag</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0"/>
        <v>0</v>
      </c>
      <c r="I27" s="89" t="str">
        <f t="array" ref="I27">IF(AND(F27&gt;H27,OR(AND(OR($B27&lt;&gt;Ref!$A$7,$H$55&gt;0),OR($B27&lt;&gt;Ref!$A$8,$H$56&gt;0)),COUNT(SEARCH(Sonderarbeit,$N27))&gt;=1),ISNONTEXT(C27),C27&lt;&gt;""),F27-H27,"")</f>
        <v/>
      </c>
      <c r="J27" s="90" t="str">
        <f t="array" ref="J27">IF(OR(AND(F27&lt;H27,OR(AND(OR($B27&lt;&gt;Ref!$A$7,$H$55&gt;0),OR($B27&lt;&gt;Ref!$A$8,$H$56&gt;0)),COUNT(SEARCH(Sonderarbeit,$N27))&gt;=1)),C27="Ausgleich"),H27-F27,"")</f>
        <v/>
      </c>
      <c r="K27" s="91" t="str">
        <f>IF(AND(B27=Ref!$A$8,SUM(I21:I27)&lt;SUM(J21:J27)),"-","")</f>
        <v/>
      </c>
      <c r="L27" s="92">
        <f>IF(B27=Ref!$A$8,ABS(SUM(I21:I27)-SUM(J21:J27)),"")</f>
        <v>2.083333333333337E-2</v>
      </c>
    </row>
    <row r="28" spans="1:14" ht="17.399999999999999" customHeight="1" x14ac:dyDescent="0.55000000000000004">
      <c r="A28" s="86">
        <v>10</v>
      </c>
      <c r="B28" s="85" t="str">
        <f t="shared" si="1"/>
        <v>Montag</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0"/>
        <v>0.33333333333333331</v>
      </c>
      <c r="I28" s="89" t="str">
        <f t="array" ref="I28">IF(AND(F28&gt;H28,OR(AND(OR($B28&lt;&gt;Ref!$A$7,$H$55&gt;0),OR($B28&lt;&gt;Ref!$A$8,$H$56&gt;0)),COUNT(SEARCH(Sonderarbeit,$N28))&gt;=1),ISNONTEXT(C28),C28&lt;&gt;""),F28-H28,"")</f>
        <v/>
      </c>
      <c r="J28" s="90" t="str">
        <f t="array" ref="J28">IF(OR(AND(F28&lt;H28,OR(AND(OR($B28&lt;&gt;Ref!$A$7,$H$55&gt;0),OR($B28&lt;&gt;Ref!$A$8,$H$56&gt;0)),COUNT(SEARCH(Sonderarbeit,$N28))&gt;=1)),C28="Ausgleich"),H28-F28,"")</f>
        <v/>
      </c>
      <c r="K28" s="91" t="str">
        <f>IF(AND(B28=Ref!$A$8,SUM(I22:I28)&lt;SUM(J22:J28)),"-","")</f>
        <v/>
      </c>
      <c r="L28" s="92" t="str">
        <f>IF(B28=Ref!$A$8,ABS(SUM(I22:I28)-SUM(J22:J28)),"")</f>
        <v/>
      </c>
    </row>
    <row r="29" spans="1:14" ht="17.399999999999999" customHeight="1" x14ac:dyDescent="0.55000000000000004">
      <c r="A29" s="94">
        <v>11</v>
      </c>
      <c r="B29" s="85" t="str">
        <f t="shared" si="1"/>
        <v>Dienstag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0"/>
        <v>0.33333333333333331</v>
      </c>
      <c r="I29" s="89" t="str">
        <f t="array" ref="I29">IF(AND(F29&gt;H29,OR(AND(OR($B29&lt;&gt;Ref!$A$7,$H$55&gt;0),OR($B29&lt;&gt;Ref!$A$8,$H$56&gt;0)),COUNT(SEARCH(Sonderarbeit,$N29))&gt;=1),ISNONTEXT(C29),C29&lt;&gt;""),F29-H29,"")</f>
        <v/>
      </c>
      <c r="J29" s="90" t="str">
        <f t="array" ref="J29">IF(OR(AND(F29&lt;H29,OR(AND(OR($B29&lt;&gt;Ref!$A$7,$H$55&gt;0),OR($B29&lt;&gt;Ref!$A$8,$H$56&gt;0)),COUNT(SEARCH(Sonderarbeit,$N29))&gt;=1)),C29="Ausgleich"),H29-F29,"")</f>
        <v/>
      </c>
      <c r="K29" s="91" t="str">
        <f>IF(AND(B29=Ref!$A$8,SUM(I23:I29)&lt;SUM(J23:J29)),"-","")</f>
        <v/>
      </c>
      <c r="L29" s="92" t="str">
        <f>IF(B29=Ref!$A$8,ABS(SUM(I23:I29)-SUM(J23:J29)),"")</f>
        <v/>
      </c>
    </row>
    <row r="30" spans="1:14" ht="17.399999999999999" customHeight="1" x14ac:dyDescent="0.55000000000000004">
      <c r="A30" s="94">
        <v>12</v>
      </c>
      <c r="B30" s="85" t="str">
        <f t="shared" si="1"/>
        <v>Mittwoch</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0"/>
        <v>0.33333333333333331</v>
      </c>
      <c r="I30" s="89" t="str">
        <f t="array" ref="I30">IF(AND(F30&gt;H30,OR(AND(OR($B30&lt;&gt;Ref!$A$7,$H$55&gt;0),OR($B30&lt;&gt;Ref!$A$8,$H$56&gt;0)),COUNT(SEARCH(Sonderarbeit,$N30))&gt;=1),ISNONTEXT(C30),C30&lt;&gt;""),F30-H30,"")</f>
        <v/>
      </c>
      <c r="J30" s="90" t="str">
        <f t="array" ref="J30">IF(OR(AND(F30&lt;H30,OR(AND(OR($B30&lt;&gt;Ref!$A$7,$H$55&gt;0),OR($B30&lt;&gt;Ref!$A$8,$H$56&gt;0)),COUNT(SEARCH(Sonderarbeit,$N30))&gt;=1)),C30="Ausgleich"),H30-F30,"")</f>
        <v/>
      </c>
      <c r="K30" s="91" t="str">
        <f>IF(AND(B30=Ref!$A$8,SUM(I24:I30)&lt;SUM(J24:J30)),"-","")</f>
        <v/>
      </c>
      <c r="L30" s="92" t="str">
        <f>IF(B30=Ref!$A$8,ABS(SUM(I24:I30)-SUM(J24:J30)),"")</f>
        <v/>
      </c>
    </row>
    <row r="31" spans="1:14" ht="17.399999999999999" customHeight="1" x14ac:dyDescent="0.55000000000000004">
      <c r="A31" s="94">
        <v>13</v>
      </c>
      <c r="B31" s="85" t="str">
        <f t="shared" si="1"/>
        <v>Donnerstag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0"/>
        <v>0.33333333333333331</v>
      </c>
      <c r="I31" s="89" t="str">
        <f t="array" ref="I31">IF(AND(F31&gt;H31,OR(AND(OR($B31&lt;&gt;Ref!$A$7,$H$55&gt;0),OR($B31&lt;&gt;Ref!$A$8,$H$56&gt;0)),COUNT(SEARCH(Sonderarbeit,$N31))&gt;=1),ISNONTEXT(C31),C31&lt;&gt;""),F31-H31,"")</f>
        <v/>
      </c>
      <c r="J31" s="90" t="str">
        <f t="array" ref="J31">IF(OR(AND(F31&lt;H31,OR(AND(OR($B31&lt;&gt;Ref!$A$7,$H$55&gt;0),OR($B31&lt;&gt;Ref!$A$8,$H$56&gt;0)),COUNT(SEARCH(Sonderarbeit,$N31))&gt;=1)),C31="Ausgleich"),H31-F31,"")</f>
        <v/>
      </c>
      <c r="K31" s="91" t="str">
        <f>IF(AND(B31=Ref!$A$8,SUM(I25:I31)&lt;SUM(J25:J31)),"-","")</f>
        <v/>
      </c>
      <c r="L31" s="92" t="str">
        <f>IF(B31=Ref!$A$8,ABS(SUM(I25:I31)-SUM(J25:J31)),"")</f>
        <v/>
      </c>
    </row>
    <row r="32" spans="1:14" ht="17.399999999999999" customHeight="1" x14ac:dyDescent="0.55000000000000004">
      <c r="A32" s="94">
        <v>14</v>
      </c>
      <c r="B32" s="85" t="str">
        <f t="shared" si="1"/>
        <v>Freitag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0"/>
        <v>0.3125</v>
      </c>
      <c r="I32" s="89">
        <f t="array" ref="I32">IF(AND(F32&gt;H32,OR(AND(OR($B32&lt;&gt;Ref!$A$7,$H$55&gt;0),OR($B32&lt;&gt;Ref!$A$8,$H$56&gt;0)),COUNT(SEARCH(Sonderarbeit,$N32))&gt;=1),ISNONTEXT(C32),C32&lt;&gt;""),F32-H32,"")</f>
        <v>2.083333333333337E-2</v>
      </c>
      <c r="J32" s="90" t="str">
        <f t="array" ref="J32">IF(OR(AND(F32&lt;H32,OR(AND(OR($B32&lt;&gt;Ref!$A$7,$H$55&gt;0),OR($B32&lt;&gt;Ref!$A$8,$H$56&gt;0)),COUNT(SEARCH(Sonderarbeit,$N32))&gt;=1)),C32="Ausgleich"),H32-F32,"")</f>
        <v/>
      </c>
      <c r="K32" s="91" t="str">
        <f>IF(AND(B32=Ref!$A$8,SUM(I26:I32)&lt;SUM(J26:J32)),"-","")</f>
        <v/>
      </c>
      <c r="L32" s="92" t="str">
        <f>IF(B32=Ref!$A$8,ABS(SUM(I26:I32)-SUM(J26:J32)),"")</f>
        <v/>
      </c>
    </row>
    <row r="33" spans="1:14" ht="17.399999999999999" customHeight="1" x14ac:dyDescent="0.55000000000000004">
      <c r="A33" s="86">
        <v>15</v>
      </c>
      <c r="B33" s="85" t="str">
        <f t="shared" si="1"/>
        <v>Samstag</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0"/>
        <v>0</v>
      </c>
      <c r="I33" s="89" t="str">
        <f t="array" ref="I33">IF(AND(F33&gt;H33,OR(AND(OR($B33&lt;&gt;Ref!$A$7,$H$55&gt;0),OR($B33&lt;&gt;Ref!$A$8,$H$56&gt;0)),COUNT(SEARCH(Sonderarbeit,$N33))&gt;=1),ISNONTEXT(C33),C33&lt;&gt;""),F33-H33,"")</f>
        <v/>
      </c>
      <c r="J33" s="90" t="str">
        <f t="array" ref="J33">IF(OR(AND(F33&lt;H33,OR(AND(OR($B33&lt;&gt;Ref!$A$7,$H$55&gt;0),OR($B33&lt;&gt;Ref!$A$8,$H$56&gt;0)),COUNT(SEARCH(Sonderarbeit,$N33))&gt;=1)),C33="Ausgleich"),H33-F33,"")</f>
        <v/>
      </c>
      <c r="K33" s="91" t="str">
        <f>IF(AND(B33=Ref!$A$8,SUM(I27:I33)&lt;SUM(J27:J33)),"-","")</f>
        <v/>
      </c>
      <c r="L33" s="92" t="str">
        <f>IF(B33=Ref!$A$8,ABS(SUM(I27:I33)-SUM(J27:J33)),"")</f>
        <v/>
      </c>
    </row>
    <row r="34" spans="1:14" ht="17.399999999999999" customHeight="1" x14ac:dyDescent="0.55000000000000004">
      <c r="A34" s="86">
        <v>16</v>
      </c>
      <c r="B34" s="85" t="str">
        <f t="shared" si="1"/>
        <v>Sonntag</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0"/>
        <v>0</v>
      </c>
      <c r="I34" s="89" t="str">
        <f t="array" ref="I34">IF(AND(F34&gt;H34,OR(AND(OR($B34&lt;&gt;Ref!$A$7,$H$55&gt;0),OR($B34&lt;&gt;Ref!$A$8,$H$56&gt;0)),COUNT(SEARCH(Sonderarbeit,$N34))&gt;=1),ISNONTEXT(C34),C34&lt;&gt;""),F34-H34,"")</f>
        <v/>
      </c>
      <c r="J34" s="90" t="str">
        <f t="array" ref="J34">IF(OR(AND(F34&lt;H34,OR(AND(OR($B34&lt;&gt;Ref!$A$7,$H$55&gt;0),OR($B34&lt;&gt;Ref!$A$8,$H$56&gt;0)),COUNT(SEARCH(Sonderarbeit,$N34))&gt;=1)),C34="Ausgleich"),H34-F34,"")</f>
        <v/>
      </c>
      <c r="K34" s="91" t="str">
        <f>IF(AND(B34=Ref!$A$8,SUM(I28:I34)&lt;SUM(J28:J34)),"-","")</f>
        <v/>
      </c>
      <c r="L34" s="92">
        <f>IF(B34=Ref!$A$8,ABS(SUM(I28:I34)-SUM(J28:J34)),"")</f>
        <v>2.083333333333337E-2</v>
      </c>
    </row>
    <row r="35" spans="1:14" ht="17.399999999999999" customHeight="1" x14ac:dyDescent="0.55000000000000004">
      <c r="A35" s="86">
        <v>17</v>
      </c>
      <c r="B35" s="85" t="str">
        <f t="shared" si="1"/>
        <v>Montag</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0"/>
        <v>0.33333333333333331</v>
      </c>
      <c r="I35" s="89" t="str">
        <f t="array" ref="I35">IF(AND(F35&gt;H35,OR(AND(OR($B35&lt;&gt;Ref!$A$7,$H$55&gt;0),OR($B35&lt;&gt;Ref!$A$8,$H$56&gt;0)),COUNT(SEARCH(Sonderarbeit,$N35))&gt;=1),ISNONTEXT(C35),C35&lt;&gt;""),F35-H35,"")</f>
        <v/>
      </c>
      <c r="J35" s="90" t="str">
        <f t="array" ref="J35">IF(OR(AND(F35&lt;H35,OR(AND(OR($B35&lt;&gt;Ref!$A$7,$H$55&gt;0),OR($B35&lt;&gt;Ref!$A$8,$H$56&gt;0)),COUNT(SEARCH(Sonderarbeit,$N35))&gt;=1)),C35="Ausgleich"),H35-F35,"")</f>
        <v/>
      </c>
      <c r="K35" s="91" t="str">
        <f>IF(AND(B35=Ref!$A$8,SUM(I29:I35)&lt;SUM(J29:J35)),"-","")</f>
        <v/>
      </c>
      <c r="L35" s="92" t="str">
        <f>IF(B35=Ref!$A$8,ABS(SUM(I29:I35)-SUM(J29:J35)),"")</f>
        <v/>
      </c>
    </row>
    <row r="36" spans="1:14" ht="17.399999999999999" customHeight="1" x14ac:dyDescent="0.55000000000000004">
      <c r="A36" s="86">
        <v>18</v>
      </c>
      <c r="B36" s="85" t="str">
        <f t="shared" si="1"/>
        <v>Dienstag</v>
      </c>
      <c r="C36" s="87">
        <v>0.35416666666666669</v>
      </c>
      <c r="D36" s="213">
        <f t="array" ref="D36">IF(AND(COUNT(SEARCH(Sonderarbeit,$N36,1))&gt;=1,$B36=Ref!$A$7),Ref!$K$1,Ref!$K$2)</f>
        <v>0.70833333333333337</v>
      </c>
      <c r="E36" s="213">
        <f t="array" ref="E36">IF(AND(COUNT(SEARCH(Sonderarbeit,$N36))&gt;=1,$B36=Ref!$A$7),,Ref!$K$3)</f>
        <v>2.0833333333333332E-2</v>
      </c>
      <c r="F36" s="270">
        <f t="shared" si="2"/>
        <v>0.33333333333333337</v>
      </c>
      <c r="G36" s="271"/>
      <c r="H36" s="88">
        <f>IF(AND(ISTEXT(C36),ISERR(SEARCH("ausgleich",C36,1))),,INDEX(H$50:H$57,WEEKDAY(DATE(J$11,MONTH(I$11),A36),2),1,1))</f>
        <v>0.33333333333333331</v>
      </c>
      <c r="I36" s="89" t="str">
        <f t="array" ref="I36">IF(AND(F36&gt;H36,OR(AND(OR($B36&lt;&gt;Ref!$A$7,$H$55&gt;0),OR($B36&lt;&gt;Ref!$A$8,$H$56&gt;0)),COUNT(SEARCH(Sonderarbeit,$N36))&gt;=1),ISNONTEXT(C36),C36&lt;&gt;""),F36-H36,"")</f>
        <v/>
      </c>
      <c r="J36" s="90" t="str">
        <f t="array" ref="J36">IF(OR(AND(F36&lt;H36,OR(AND(OR($B36&lt;&gt;Ref!$A$7,$H$55&gt;0),OR($B36&lt;&gt;Ref!$A$8,$H$56&gt;0)),COUNT(SEARCH(Sonderarbeit,$N36))&gt;=1)),C36="Ausgleich"),H36-F36,"")</f>
        <v/>
      </c>
      <c r="K36" s="91" t="str">
        <f>IF(AND(B36=Ref!$A$8,SUM(I30:I36)&lt;SUM(J30:J36)),"-","")</f>
        <v/>
      </c>
      <c r="L36" s="92" t="str">
        <f>IF(B36=Ref!$A$8,ABS(SUM(I30:I36)-SUM(J30:J36)),"")</f>
        <v/>
      </c>
    </row>
    <row r="37" spans="1:14" ht="17.399999999999999" customHeight="1" x14ac:dyDescent="0.55000000000000004">
      <c r="A37" s="86">
        <v>19</v>
      </c>
      <c r="B37" s="85" t="str">
        <f t="shared" si="1"/>
        <v>Mittwoch</v>
      </c>
      <c r="C37" s="87">
        <v>0.35416666666666669</v>
      </c>
      <c r="D37" s="213">
        <f t="array" ref="D37">IF(AND(COUNT(SEARCH(Sonderarbeit,$N37,1))&gt;=1,$B37=Ref!$A$7),Ref!$K$1,Ref!$K$2)</f>
        <v>0.70833333333333337</v>
      </c>
      <c r="E37" s="213">
        <f t="array" ref="E37">IF(AND(COUNT(SEARCH(Sonderarbeit,$N37))&gt;=1,$B37=Ref!$A$7),,Ref!$K$3)</f>
        <v>2.0833333333333332E-2</v>
      </c>
      <c r="F37" s="270">
        <f t="shared" si="2"/>
        <v>0.33333333333333337</v>
      </c>
      <c r="G37" s="271"/>
      <c r="H37" s="88">
        <f t="shared" ref="H37:H48" si="3">IF(AND(ISTEXT(C37),ISERR(SEARCH("ausgleich",C37,1))),,INDEX(H$50:H$57,WEEKDAY(DATE(J$11,MONTH(I$11),A37),2),1,1))</f>
        <v>0.33333333333333331</v>
      </c>
      <c r="I37" s="89" t="str">
        <f t="array" ref="I37">IF(AND(F37&gt;H37,OR(AND(OR($B37&lt;&gt;Ref!$A$7,$H$55&gt;0),OR($B37&lt;&gt;Ref!$A$8,$H$56&gt;0)),COUNT(SEARCH(Sonderarbeit,$N37))&gt;=1),ISNONTEXT(C37),C37&lt;&gt;""),F37-H37,"")</f>
        <v/>
      </c>
      <c r="J37" s="90" t="str">
        <f t="array" ref="J37">IF(OR(AND(F37&lt;H37,OR(AND(OR($B37&lt;&gt;Ref!$A$7,$H$55&gt;0),OR($B37&lt;&gt;Ref!$A$8,$H$56&gt;0)),COUNT(SEARCH(Sonderarbeit,$N37))&gt;=1)),C37="Ausgleich"),H37-F37,"")</f>
        <v/>
      </c>
      <c r="K37" s="91" t="str">
        <f>IF(AND(B37=Ref!$A$8,SUM(I31:I37)&lt;SUM(J31:J37)),"-","")</f>
        <v/>
      </c>
      <c r="L37" s="92" t="str">
        <f>IF(B37=Ref!$A$8,ABS(SUM(I31:I37)-SUM(J31:J37)),"")</f>
        <v/>
      </c>
    </row>
    <row r="38" spans="1:14" ht="17.399999999999999" customHeight="1" x14ac:dyDescent="0.55000000000000004">
      <c r="A38" s="86">
        <v>20</v>
      </c>
      <c r="B38" s="85" t="str">
        <f t="shared" si="1"/>
        <v>Donnerstag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0.33333333333333331</v>
      </c>
      <c r="I38" s="89" t="str">
        <f t="array" ref="I38">IF(AND(F38&gt;H38,OR(AND(OR($B38&lt;&gt;Ref!$A$7,$H$55&gt;0),OR($B38&lt;&gt;Ref!$A$8,$H$56&gt;0)),COUNT(SEARCH(Sonderarbeit,$N38))&gt;=1),ISNONTEXT(C38),C38&lt;&gt;""),F38-H38,"")</f>
        <v/>
      </c>
      <c r="J38" s="90" t="str">
        <f t="array" ref="J38">IF(OR(AND(F38&lt;H38,OR(AND(OR($B38&lt;&gt;Ref!$A$7,$H$55&gt;0),OR($B38&lt;&gt;Ref!$A$8,$H$56&gt;0)),COUNT(SEARCH(Sonderarbeit,$N38))&gt;=1)),C38="Ausgleich"),H38-F38,"")</f>
        <v/>
      </c>
      <c r="K38" s="91" t="str">
        <f>IF(AND(B38=Ref!$A$8,SUM(I32:I38)&lt;SUM(J32:J38)),"-","")</f>
        <v/>
      </c>
      <c r="L38" s="92" t="str">
        <f>IF(B38=Ref!$A$8,ABS(SUM(I32:I38)-SUM(J32:J38)),"")</f>
        <v/>
      </c>
    </row>
    <row r="39" spans="1:14" ht="17.399999999999999" customHeight="1" x14ac:dyDescent="0.55000000000000004">
      <c r="A39" s="86">
        <v>21</v>
      </c>
      <c r="B39" s="85" t="str">
        <f t="shared" si="1"/>
        <v>Freitag</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3"/>
        <v>0.3125</v>
      </c>
      <c r="I39" s="89">
        <f t="array" ref="I39">IF(AND(F39&gt;H39,OR(AND(OR($B39&lt;&gt;Ref!$A$7,$H$55&gt;0),OR($B39&lt;&gt;Ref!$A$8,$H$56&gt;0)),COUNT(SEARCH(Sonderarbeit,$N39))&gt;=1),ISNONTEXT(C39),C39&lt;&gt;""),F39-H39,"")</f>
        <v>2.083333333333337E-2</v>
      </c>
      <c r="J39" s="90" t="str">
        <f t="array" ref="J39">IF(OR(AND(F39&lt;H39,OR(AND(OR($B39&lt;&gt;Ref!$A$7,$H$55&gt;0),OR($B39&lt;&gt;Ref!$A$8,$H$56&gt;0)),COUNT(SEARCH(Sonderarbeit,$N39))&gt;=1)),C39="Ausgleich"),H39-F39,"")</f>
        <v/>
      </c>
      <c r="K39" s="91" t="str">
        <f>IF(AND(B39=Ref!$A$8,SUM(I33:I39)&lt;SUM(J33:J39)),"-","")</f>
        <v/>
      </c>
      <c r="L39" s="92" t="str">
        <f>IF(B39=Ref!$A$8,ABS(SUM(I33:I39)-SUM(J33:J39)),"")</f>
        <v/>
      </c>
    </row>
    <row r="40" spans="1:14" ht="17.399999999999999" customHeight="1" x14ac:dyDescent="0.55000000000000004">
      <c r="A40" s="86">
        <v>22</v>
      </c>
      <c r="B40" s="85" t="str">
        <f t="shared" si="1"/>
        <v>Samstag</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v>
      </c>
      <c r="I40" s="89" t="str">
        <f t="array" ref="I40">IF(AND(F40&gt;H40,OR(AND(OR($B40&lt;&gt;Ref!$A$7,$H$55&gt;0),OR($B40&lt;&gt;Ref!$A$8,$H$56&gt;0)),COUNT(SEARCH(Sonderarbeit,$N40))&gt;=1),ISNONTEXT(C40),C40&lt;&gt;""),F40-H40,"")</f>
        <v/>
      </c>
      <c r="J40" s="90" t="str">
        <f t="array" ref="J40">IF(OR(AND(F40&lt;H40,OR(AND(OR($B40&lt;&gt;Ref!$A$7,$H$55&gt;0),OR($B40&lt;&gt;Ref!$A$8,$H$56&gt;0)),COUNT(SEARCH(Sonderarbeit,$N40))&gt;=1)),C40="Ausgleich"),H40-F40,"")</f>
        <v/>
      </c>
      <c r="K40" s="91" t="str">
        <f>IF(AND(B40=Ref!$A$8,SUM(I34:I40)&lt;SUM(J34:J40)),"-","")</f>
        <v/>
      </c>
      <c r="L40" s="92" t="str">
        <f>IF(B40=Ref!$A$8,ABS(SUM(I34:I40)-SUM(J34:J40)),"")</f>
        <v/>
      </c>
    </row>
    <row r="41" spans="1:14" ht="17.399999999999999" customHeight="1" x14ac:dyDescent="0.55000000000000004">
      <c r="A41" s="86">
        <v>23</v>
      </c>
      <c r="B41" s="85" t="str">
        <f t="shared" si="1"/>
        <v>Sonntag</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v>
      </c>
      <c r="I41" s="89" t="str">
        <f t="array" ref="I41">IF(AND(F41&gt;H41,OR(AND(OR($B41&lt;&gt;Ref!$A$7,$H$55&gt;0),OR($B41&lt;&gt;Ref!$A$8,$H$56&gt;0)),COUNT(SEARCH(Sonderarbeit,$N41))&gt;=1),ISNONTEXT(C41),C41&lt;&gt;""),F41-H41,"")</f>
        <v/>
      </c>
      <c r="J41" s="90" t="str">
        <f t="array" ref="J41">IF(OR(AND(F41&lt;H41,OR(AND(OR($B41&lt;&gt;Ref!$A$7,$H$55&gt;0),OR($B41&lt;&gt;Ref!$A$8,$H$56&gt;0)),COUNT(SEARCH(Sonderarbeit,$N41))&gt;=1)),C41="Ausgleich"),H41-F41,"")</f>
        <v/>
      </c>
      <c r="K41" s="91" t="str">
        <f>IF(AND(B41=Ref!$A$8,SUM(I35:I41)&lt;SUM(J35:J41)),"-","")</f>
        <v/>
      </c>
      <c r="L41" s="92">
        <f>IF(B41=Ref!$A$8,ABS(SUM(I35:I41)-SUM(J35:J41)),"")</f>
        <v>2.083333333333337E-2</v>
      </c>
    </row>
    <row r="42" spans="1:14" ht="17.399999999999999" customHeight="1" x14ac:dyDescent="0.55000000000000004">
      <c r="A42" s="86">
        <v>24</v>
      </c>
      <c r="B42" s="85" t="str">
        <f t="shared" si="1"/>
        <v>Montag</v>
      </c>
      <c r="C42" s="87">
        <v>0.35416666666666669</v>
      </c>
      <c r="D42" s="213">
        <f t="array" ref="D42">IF(AND(COUNT(SEARCH(Sonderarbeit,$N42,1))&gt;=1,$B42=Ref!$A$7),Ref!$K$1,Ref!$K$2)</f>
        <v>0.70833333333333337</v>
      </c>
      <c r="E42" s="213">
        <f t="array" ref="E42">IF(AND(COUNT(SEARCH(Sonderarbeit,$N42))&gt;=1,$B42=Ref!$A$7),,Ref!$K$3)</f>
        <v>2.0833333333333332E-2</v>
      </c>
      <c r="F42" s="270">
        <f t="shared" si="2"/>
        <v>0.33333333333333337</v>
      </c>
      <c r="G42" s="271"/>
      <c r="H42" s="88">
        <f t="shared" si="3"/>
        <v>0.33333333333333331</v>
      </c>
      <c r="I42" s="89" t="str">
        <f t="array" ref="I42">IF(AND(F42&gt;H42,OR(AND(OR($B42&lt;&gt;Ref!$A$7,$H$55&gt;0),OR($B42&lt;&gt;Ref!$A$8,$H$56&gt;0)),COUNT(SEARCH(Sonderarbeit,$N42))&gt;=1),ISNONTEXT(C42),C42&lt;&gt;""),F42-H42,"")</f>
        <v/>
      </c>
      <c r="J42" s="90" t="str">
        <f t="array" ref="J42">IF(OR(AND(F42&lt;H42,OR(AND(OR($B42&lt;&gt;Ref!$A$7,$H$55&gt;0),OR($B42&lt;&gt;Ref!$A$8,$H$56&gt;0)),COUNT(SEARCH(Sonderarbeit,$N42))&gt;=1)),C42="Ausgleich"),H42-F42,"")</f>
        <v/>
      </c>
      <c r="K42" s="91" t="str">
        <f>IF(AND(B42=Ref!$A$8,SUM(I36:I42)&lt;SUM(J36:J42)),"-","")</f>
        <v/>
      </c>
      <c r="L42" s="92" t="str">
        <f>IF(B42=Ref!$A$8,ABS(SUM(I36:I42)-SUM(J36:J42)),"")</f>
        <v/>
      </c>
    </row>
    <row r="43" spans="1:14" ht="17.399999999999999" customHeight="1" x14ac:dyDescent="0.55000000000000004">
      <c r="A43" s="86">
        <v>25</v>
      </c>
      <c r="B43" s="85" t="str">
        <f t="shared" si="1"/>
        <v>Dienstag</v>
      </c>
      <c r="C43" s="87">
        <v>0.35416666666666669</v>
      </c>
      <c r="D43" s="213">
        <f t="array" ref="D43">IF(AND(COUNT(SEARCH(Sonderarbeit,$N43,1))&gt;=1,$B43=Ref!$A$7),Ref!$K$1,Ref!$K$2)</f>
        <v>0.70833333333333337</v>
      </c>
      <c r="E43" s="213">
        <f t="array" ref="E43">IF(AND(COUNT(SEARCH(Sonderarbeit,$N43))&gt;=1,$B43=Ref!$A$7),,Ref!$K$3)</f>
        <v>2.0833333333333332E-2</v>
      </c>
      <c r="F43" s="270">
        <f t="shared" si="2"/>
        <v>0.33333333333333337</v>
      </c>
      <c r="G43" s="271"/>
      <c r="H43" s="88">
        <f t="shared" si="3"/>
        <v>0.33333333333333331</v>
      </c>
      <c r="I43" s="89" t="str">
        <f t="array" ref="I43">IF(AND(F43&gt;H43,OR(AND(OR($B43&lt;&gt;Ref!$A$7,$H$55&gt;0),OR($B43&lt;&gt;Ref!$A$8,$H$56&gt;0)),COUNT(SEARCH(Sonderarbeit,$N43))&gt;=1),ISNONTEXT(C43),C43&lt;&gt;""),F43-H43,"")</f>
        <v/>
      </c>
      <c r="J43" s="90" t="str">
        <f t="array" ref="J43">IF(OR(AND(F43&lt;H43,OR(AND(OR($B43&lt;&gt;Ref!$A$7,$H$55&gt;0),OR($B43&lt;&gt;Ref!$A$8,$H$56&gt;0)),COUNT(SEARCH(Sonderarbeit,$N43))&gt;=1)),C43="Ausgleich"),H43-F43,"")</f>
        <v/>
      </c>
      <c r="K43" s="91" t="str">
        <f>IF(AND(B43=Ref!$A$8,SUM(I37:I43)&lt;SUM(J37:J43)),"-","")</f>
        <v/>
      </c>
      <c r="L43" s="92" t="str">
        <f>IF(B43=Ref!$A$8,ABS(SUM(I37:I43)-SUM(J37:J43)),"")</f>
        <v/>
      </c>
    </row>
    <row r="44" spans="1:14" ht="17.399999999999999" customHeight="1" x14ac:dyDescent="0.55000000000000004">
      <c r="A44" s="86">
        <v>26</v>
      </c>
      <c r="B44" s="85" t="str">
        <f t="shared" si="1"/>
        <v>Mittwoch</v>
      </c>
      <c r="C44" s="87">
        <v>0.35416666666666669</v>
      </c>
      <c r="D44" s="213">
        <f t="array" ref="D44">IF(AND(COUNT(SEARCH(Sonderarbeit,$N44,1))&gt;=1,$B44=Ref!$A$7),Ref!$K$1,Ref!$K$2)</f>
        <v>0.70833333333333337</v>
      </c>
      <c r="E44" s="213">
        <f t="array" ref="E44">IF(AND(COUNT(SEARCH(Sonderarbeit,$N44))&gt;=1,$B44=Ref!$A$7),,Ref!$K$3)</f>
        <v>2.0833333333333332E-2</v>
      </c>
      <c r="F44" s="270">
        <f t="shared" si="2"/>
        <v>0.33333333333333337</v>
      </c>
      <c r="G44" s="271"/>
      <c r="H44" s="88">
        <f t="shared" si="3"/>
        <v>0.33333333333333331</v>
      </c>
      <c r="I44" s="89" t="str">
        <f t="array" ref="I44">IF(AND(F44&gt;H44,OR(AND(OR($B44&lt;&gt;Ref!$A$7,$H$55&gt;0),OR($B44&lt;&gt;Ref!$A$8,$H$56&gt;0)),COUNT(SEARCH(Sonderarbeit,$N44))&gt;=1),ISNONTEXT(C44),C44&lt;&gt;""),F44-H44,"")</f>
        <v/>
      </c>
      <c r="J44" s="90" t="str">
        <f t="array" ref="J44">IF(OR(AND(F44&lt;H44,OR(AND(OR($B44&lt;&gt;Ref!$A$7,$H$55&gt;0),OR($B44&lt;&gt;Ref!$A$8,$H$56&gt;0)),COUNT(SEARCH(Sonderarbeit,$N44))&gt;=1)),C44="Ausgleich"),H44-F44,"")</f>
        <v/>
      </c>
      <c r="K44" s="91" t="str">
        <f>IF(AND(B44=Ref!$A$8,SUM(I38:I44)&lt;SUM(J38:J44)),"-","")</f>
        <v/>
      </c>
      <c r="L44" s="92" t="str">
        <f>IF(B44=Ref!$A$8,ABS(SUM(I38:I44)-SUM(J38:J44)),"")</f>
        <v/>
      </c>
    </row>
    <row r="45" spans="1:14" ht="17.399999999999999" customHeight="1" x14ac:dyDescent="0.55000000000000004">
      <c r="A45" s="86">
        <v>27</v>
      </c>
      <c r="B45" s="85" t="str">
        <f t="shared" si="1"/>
        <v>Donnerstag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0.33333333333333331</v>
      </c>
      <c r="I45" s="89" t="str">
        <f t="array" ref="I45">IF(AND(F45&gt;H45,OR(AND(OR($B45&lt;&gt;Ref!$A$7,$H$55&gt;0),OR($B45&lt;&gt;Ref!$A$8,$H$56&gt;0)),COUNT(SEARCH(Sonderarbeit,$N45))&gt;=1),ISNONTEXT(C45),C45&lt;&gt;""),F45-H45,"")</f>
        <v/>
      </c>
      <c r="J45" s="90" t="str">
        <f t="array" ref="J45">IF(OR(AND(F45&lt;H45,OR(AND(OR($B45&lt;&gt;Ref!$A$7,$H$55&gt;0),OR($B45&lt;&gt;Ref!$A$8,$H$56&gt;0)),COUNT(SEARCH(Sonderarbeit,$N45))&gt;=1)),C45="Ausgleich"),H45-F45,"")</f>
        <v/>
      </c>
      <c r="K45" s="91" t="str">
        <f>IF(AND(B45=Ref!$A$8,SUM(I39:I45)&lt;SUM(J39:J45)),"-","")</f>
        <v/>
      </c>
      <c r="L45" s="92" t="str">
        <f>IF(B45=Ref!$A$8,ABS(SUM(I39:I45)-SUM(J39:J45)),"")</f>
        <v/>
      </c>
    </row>
    <row r="46" spans="1:14" ht="17.399999999999999" customHeight="1" x14ac:dyDescent="0.55000000000000004">
      <c r="A46" s="86">
        <v>28</v>
      </c>
      <c r="B46" s="85" t="str">
        <f t="shared" si="1"/>
        <v>Freitag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0.3125</v>
      </c>
      <c r="I46" s="89">
        <f t="array" ref="I46">IF(AND(F46&gt;H46,OR(AND(OR($B46&lt;&gt;Ref!$A$7,$H$55&gt;0),OR($B46&lt;&gt;Ref!$A$8,$H$56&gt;0)),COUNT(SEARCH(Sonderarbeit,$N46))&gt;=1),ISNONTEXT(C46),C46&lt;&gt;""),F46-H46,"")</f>
        <v>2.083333333333337E-2</v>
      </c>
      <c r="J46" s="90" t="str">
        <f t="array" ref="J46">IF(OR(AND(F46&lt;H46,OR(AND(OR($B46&lt;&gt;Ref!$A$7,$H$55&gt;0),OR($B46&lt;&gt;Ref!$A$8,$H$56&gt;0)),COUNT(SEARCH(Sonderarbeit,$N46))&gt;=1)),C46="Ausgleich"),H46-F46,"")</f>
        <v/>
      </c>
      <c r="K46" s="91" t="str">
        <f>IF(AND(B46=Ref!$A$8,SUM(I40:I46)&lt;SUM(J40:J46)),"-","")</f>
        <v/>
      </c>
      <c r="L46" s="92" t="str">
        <f>IF(B46=Ref!$A$8,ABS(SUM(I40:I46)-SUM(J40:J46)),"")</f>
        <v/>
      </c>
      <c r="N46" s="181" t="str">
        <f>IF(Mantelbogen!$C$8="Geschäftsstelle", "2025 Klassensitzung", "")</f>
        <v>2025 Klassensitzung</v>
      </c>
    </row>
    <row r="47" spans="1:14" ht="17.399999999999999" customHeight="1" x14ac:dyDescent="0.55000000000000004">
      <c r="A47" s="86">
        <v>29</v>
      </c>
      <c r="B47" s="85" t="str">
        <f t="shared" si="1"/>
        <v>Samstag</v>
      </c>
      <c r="C47" s="87">
        <v>0.35416666666666669</v>
      </c>
      <c r="D47" s="213">
        <f t="array" ref="D47">IF(AND(COUNT(SEARCH(Sonderarbeit,$N47,1))&gt;=1,$B47=Ref!$A$7),Ref!$K$1,Ref!$K$2)</f>
        <v>0.35416666666666669</v>
      </c>
      <c r="E47" s="213">
        <f t="array" ref="E47">IF(AND(COUNT(SEARCH(Sonderarbeit,$N47))&gt;=1,$B47=Ref!$A$7),,Ref!$K$3)</f>
        <v>0</v>
      </c>
      <c r="F47" s="270">
        <f t="shared" si="2"/>
        <v>0</v>
      </c>
      <c r="G47" s="271"/>
      <c r="H47" s="88">
        <f t="shared" si="3"/>
        <v>0</v>
      </c>
      <c r="I47" s="89" t="str">
        <f t="array" ref="I47">IF(AND(F47&gt;H47,OR(AND(OR($B47&lt;&gt;Ref!$A$7,$H$55&gt;0),OR($B47&lt;&gt;Ref!$A$8,$H$56&gt;0)),COUNT(SEARCH(Sonderarbeit,$N47))&gt;=1),ISNONTEXT(C47),C47&lt;&gt;""),F47-H47,"")</f>
        <v/>
      </c>
      <c r="J47" s="90" t="str">
        <f t="array" ref="J47">IF(OR(AND(F47&lt;H47,OR(AND(OR($B47&lt;&gt;Ref!$A$7,$H$55&gt;0),OR($B47&lt;&gt;Ref!$A$8,$H$56&gt;0)),COUNT(SEARCH(Sonderarbeit,$N47))&gt;=1)),C47="Ausgleich"),H47-F47,"")</f>
        <v/>
      </c>
      <c r="K47" s="91" t="str">
        <f>IF(AND(B47=Ref!$A$8,SUM(I41:I47)&lt;SUM(J41:J47)),"-","")</f>
        <v/>
      </c>
      <c r="L47" s="92" t="str">
        <f>IF(B47=Ref!$A$8,ABS(SUM(I41:I47)-SUM(J41:J47)),"")</f>
        <v/>
      </c>
      <c r="N47" s="181" t="str">
        <f>IF(Mantelbogen!$C$8="Geschäftsstelle", "2025 Gesamtsitzung", "")</f>
        <v>2025 Gesamtsitzung</v>
      </c>
    </row>
    <row r="48" spans="1:14" ht="17.399999999999999" customHeight="1" x14ac:dyDescent="0.55000000000000004">
      <c r="A48" s="86">
        <v>30</v>
      </c>
      <c r="B48" s="85" t="str">
        <f t="shared" si="1"/>
        <v>Sonntag</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v>
      </c>
      <c r="I48" s="89" t="str">
        <f t="array" ref="I48">IF(AND(F48&gt;H48,OR(AND(OR($B48&lt;&gt;Ref!$A$7,$H$55&gt;0),OR($B48&lt;&gt;Ref!$A$8,$H$56&gt;0)),COUNT(SEARCH(Sonderarbeit,$N48))&gt;=1),ISNONTEXT(C48),C48&lt;&gt;""),F48-H48,"")</f>
        <v/>
      </c>
      <c r="J48" s="90" t="str">
        <f t="array" ref="J48">IF(OR(AND(F48&lt;H48,OR(AND(OR($B48&lt;&gt;Ref!$A$7,$H$55&gt;0),OR($B48&lt;&gt;Ref!$A$8,$H$56&gt;0)),COUNT(SEARCH(Sonderarbeit,$N48))&gt;=1)),C48="Ausgleich"),H48-F48,"")</f>
        <v/>
      </c>
      <c r="K48" s="95" t="str">
        <f ca="1">IF(SUM(INDIRECT("I"&amp;ROW()-WEEKDAY(DATE(J$11,MONTH(I$11),A48),3)):I48) &lt; SUM(INDIRECT("j"&amp;ROW()-WEEKDAY(DATE(J$11,MONTH(I$11),A48),3)):J48),"-","")</f>
        <v/>
      </c>
      <c r="L48" s="96">
        <f ca="1">ABS(SUM(INDIRECT("I"&amp;ROW()-WEEKDAY(DATE(J$11,MONTH(I$11),A48),3)):I48)-SUM(INDIRECT("j"&amp;ROW()-WEEKDAY(DATE(J$11,MONTH(I$11),A48))):J48))</f>
        <v>2.083333333333337E-2</v>
      </c>
    </row>
    <row r="49" spans="1:14" s="20" customFormat="1" ht="17.399999999999999" customHeight="1" thickBot="1" x14ac:dyDescent="0.35">
      <c r="A49" s="98" t="str">
        <f>Jan!A50</f>
        <v>Sonstige Zeiten laut beigefügter Aufstellung (s. Anlage):</v>
      </c>
      <c r="B49" s="99"/>
      <c r="C49" s="100"/>
      <c r="D49" s="101"/>
      <c r="E49" s="101"/>
      <c r="F49" s="101"/>
      <c r="G49" s="101"/>
      <c r="H49" s="165"/>
      <c r="I49" s="145">
        <v>0</v>
      </c>
      <c r="J49" s="146">
        <v>0</v>
      </c>
      <c r="K49" s="147"/>
      <c r="L49" s="148"/>
      <c r="M49" s="177"/>
      <c r="N49" s="181"/>
    </row>
    <row r="50" spans="1:14" ht="12.5" customHeight="1" x14ac:dyDescent="0.3">
      <c r="A50" s="326" t="s">
        <v>3</v>
      </c>
      <c r="B50" s="326"/>
      <c r="C50" s="326"/>
      <c r="D50" s="326"/>
      <c r="E50" s="105"/>
      <c r="F50" s="105"/>
      <c r="G50" s="105"/>
      <c r="H50" s="166">
        <f>Okt!H51</f>
        <v>0.33333333333333331</v>
      </c>
      <c r="I50" s="273">
        <f>SUM(I17:I49)</f>
        <v>0.95833333333333504</v>
      </c>
      <c r="J50" s="275">
        <f>SUM(J17:J49)</f>
        <v>0</v>
      </c>
      <c r="K50" s="252" t="str">
        <f ca="1">IF(SUMIF(K19:K49,"",L19:L49)&lt;SUMIF(K19:K49,"-",L19:L49),"-","")</f>
        <v/>
      </c>
      <c r="L50" s="254">
        <f ca="1">ABS(SUMIF(K19:K49,"",L19:L49)-SUMIF(K19:K49,"-",L19:L49))</f>
        <v>8.3333333333333481E-2</v>
      </c>
    </row>
    <row r="51" spans="1:14" ht="13.5" thickBot="1" x14ac:dyDescent="0.35">
      <c r="A51" s="258"/>
      <c r="B51" s="258"/>
      <c r="C51" s="258"/>
      <c r="D51" s="258"/>
      <c r="E51" s="105"/>
      <c r="F51" s="105"/>
      <c r="G51" s="106" t="s">
        <v>12</v>
      </c>
      <c r="H51" s="167">
        <f>Okt!H52</f>
        <v>0.33333333333333331</v>
      </c>
      <c r="I51" s="274"/>
      <c r="J51" s="276"/>
      <c r="K51" s="253"/>
      <c r="L51" s="255"/>
    </row>
    <row r="52" spans="1:14" ht="13" x14ac:dyDescent="0.3">
      <c r="A52" s="258"/>
      <c r="B52" s="258"/>
      <c r="C52" s="258"/>
      <c r="D52" s="258"/>
      <c r="E52" s="105"/>
      <c r="F52" s="105"/>
      <c r="G52" s="107"/>
      <c r="H52" s="167">
        <f>Okt!H53</f>
        <v>0.33333333333333331</v>
      </c>
      <c r="I52" s="268">
        <f>IF(I50&gt;J50,I50-J50,0)</f>
        <v>0.95833333333333504</v>
      </c>
      <c r="J52" s="266" t="str">
        <f>IF(J50&gt;I50,J50-I50,"")</f>
        <v/>
      </c>
      <c r="K52" s="110"/>
      <c r="L52" s="110"/>
    </row>
    <row r="53" spans="1:14" ht="13.5" thickBot="1" x14ac:dyDescent="0.35">
      <c r="A53" s="265" t="s">
        <v>15</v>
      </c>
      <c r="B53" s="265"/>
      <c r="C53" s="265"/>
      <c r="D53" s="265"/>
      <c r="E53" s="109"/>
      <c r="F53" s="109"/>
      <c r="G53" s="106" t="s">
        <v>13</v>
      </c>
      <c r="H53" s="167">
        <f>Okt!H54</f>
        <v>0.33333333333333331</v>
      </c>
      <c r="I53" s="269"/>
      <c r="J53" s="267"/>
      <c r="K53" s="110"/>
      <c r="L53" s="110"/>
    </row>
    <row r="54" spans="1:14" ht="13.5" thickBot="1" x14ac:dyDescent="0.35">
      <c r="A54" s="257" t="s">
        <v>4</v>
      </c>
      <c r="B54" s="257"/>
      <c r="C54" s="257"/>
      <c r="D54" s="257"/>
      <c r="E54" s="109"/>
      <c r="F54" s="109"/>
      <c r="G54" s="109"/>
      <c r="H54" s="167">
        <f>Okt!H55</f>
        <v>0.3125</v>
      </c>
      <c r="I54" s="109"/>
      <c r="J54" s="109"/>
      <c r="K54" s="110"/>
      <c r="L54" s="110"/>
    </row>
    <row r="55" spans="1:14" ht="13.25" customHeight="1" x14ac:dyDescent="0.3">
      <c r="A55" s="258"/>
      <c r="B55" s="258"/>
      <c r="C55" s="258"/>
      <c r="D55" s="258"/>
      <c r="E55" s="149" t="str">
        <f>Jan!E56</f>
        <v xml:space="preserve"> </v>
      </c>
      <c r="F55" s="150"/>
      <c r="G55" s="151" t="str">
        <f>IF(E55=" ", " ", IF(Mantelbogen!D26=I11,Mantelbogen!C29,Okt!G58))</f>
        <v xml:space="preserve"> </v>
      </c>
      <c r="H55" s="168">
        <v>0</v>
      </c>
      <c r="I55" s="259" t="s">
        <v>123</v>
      </c>
      <c r="J55" s="260"/>
      <c r="K55" s="110"/>
      <c r="L55" s="110"/>
    </row>
    <row r="56" spans="1:14" ht="13.5" thickBot="1" x14ac:dyDescent="0.35">
      <c r="A56" s="258"/>
      <c r="B56" s="258"/>
      <c r="C56" s="258"/>
      <c r="D56" s="258"/>
      <c r="E56" s="149" t="str">
        <f>Jan!E57</f>
        <v xml:space="preserve"> </v>
      </c>
      <c r="F56" s="151"/>
      <c r="G56" s="151" t="str">
        <f>IF(E55=" ", " ", -COUNTIF(C19:C48, "Urlaub*" ))</f>
        <v xml:space="preserve"> </v>
      </c>
      <c r="H56" s="169">
        <v>0</v>
      </c>
      <c r="I56" s="261"/>
      <c r="J56" s="262"/>
      <c r="K56" s="110"/>
      <c r="L56" s="110"/>
    </row>
    <row r="57" spans="1:14" ht="24.5" customHeight="1" thickBot="1" x14ac:dyDescent="0.35">
      <c r="A57" s="265" t="s">
        <v>10</v>
      </c>
      <c r="B57" s="265"/>
      <c r="C57" s="265"/>
      <c r="D57" s="265"/>
      <c r="E57" s="152" t="str">
        <f>Jan!E58</f>
        <v xml:space="preserve"> </v>
      </c>
      <c r="F57" s="153"/>
      <c r="G57" s="154" t="str">
        <f>IF(E55=" ", " ", IF(Mantelbogen!C29 &gt; 0.0001, G55+G56, 0))</f>
        <v xml:space="preserve"> </v>
      </c>
      <c r="H57" s="195">
        <f>SUM(H50:H56)</f>
        <v>1.6458333333333333</v>
      </c>
      <c r="I57" s="263"/>
      <c r="J57" s="264"/>
      <c r="K57" s="105"/>
      <c r="L57" s="118" t="str">
        <f>Mantelbogen!D47</f>
        <v>10.01.2024  HAdW / G. Wolff</v>
      </c>
    </row>
    <row r="59" spans="1:14" x14ac:dyDescent="0.25">
      <c r="G59" s="256"/>
      <c r="H59" s="256"/>
      <c r="I59" s="256"/>
      <c r="J59" s="21"/>
    </row>
    <row r="60" spans="1:14" x14ac:dyDescent="0.25">
      <c r="G60" s="21"/>
      <c r="H60" s="21"/>
      <c r="I60" s="21"/>
      <c r="J60" s="21"/>
    </row>
    <row r="61" spans="1:14" x14ac:dyDescent="0.25">
      <c r="G61" s="21"/>
      <c r="H61" s="21"/>
    </row>
  </sheetData>
  <sheetProtection password="9BC9" sheet="1" objects="1" scenarios="1"/>
  <mergeCells count="62">
    <mergeCell ref="A1:E2"/>
    <mergeCell ref="A3:E3"/>
    <mergeCell ref="J52:J53"/>
    <mergeCell ref="I52:I53"/>
    <mergeCell ref="A50:D50"/>
    <mergeCell ref="I50:I51"/>
    <mergeCell ref="J50:J51"/>
    <mergeCell ref="A51:D52"/>
    <mergeCell ref="A53:D53"/>
    <mergeCell ref="F44:G44"/>
    <mergeCell ref="F45:G45"/>
    <mergeCell ref="F46:G46"/>
    <mergeCell ref="F47:G47"/>
    <mergeCell ref="F48:G48"/>
    <mergeCell ref="F43:G43"/>
    <mergeCell ref="F32:G32"/>
    <mergeCell ref="G59:I59"/>
    <mergeCell ref="A54:D54"/>
    <mergeCell ref="A55:D56"/>
    <mergeCell ref="I55:J57"/>
    <mergeCell ref="A57:D57"/>
    <mergeCell ref="F33:G33"/>
    <mergeCell ref="F34:G34"/>
    <mergeCell ref="F35:G35"/>
    <mergeCell ref="F36:G36"/>
    <mergeCell ref="F37:G37"/>
    <mergeCell ref="F38:G38"/>
    <mergeCell ref="F39:G39"/>
    <mergeCell ref="F40:G40"/>
    <mergeCell ref="F41:G41"/>
    <mergeCell ref="F42:G42"/>
    <mergeCell ref="F21:G21"/>
    <mergeCell ref="F26:G26"/>
    <mergeCell ref="F29:G29"/>
    <mergeCell ref="F30:G30"/>
    <mergeCell ref="F31:G31"/>
    <mergeCell ref="F27:G27"/>
    <mergeCell ref="F28:G28"/>
    <mergeCell ref="K50:K51"/>
    <mergeCell ref="K15:L16"/>
    <mergeCell ref="K17:L18"/>
    <mergeCell ref="L50:L51"/>
    <mergeCell ref="G1:J7"/>
    <mergeCell ref="I15:J15"/>
    <mergeCell ref="I17:I18"/>
    <mergeCell ref="J17:J18"/>
    <mergeCell ref="F15:G18"/>
    <mergeCell ref="H15:H18"/>
    <mergeCell ref="F24:G24"/>
    <mergeCell ref="F25:G25"/>
    <mergeCell ref="F20:G20"/>
    <mergeCell ref="F19:G19"/>
    <mergeCell ref="F22:G22"/>
    <mergeCell ref="F23:G23"/>
    <mergeCell ref="A4:E6"/>
    <mergeCell ref="A11:B11"/>
    <mergeCell ref="A13:B13"/>
    <mergeCell ref="A15:A18"/>
    <mergeCell ref="B15:B18"/>
    <mergeCell ref="C15:C18"/>
    <mergeCell ref="D15:D18"/>
    <mergeCell ref="E15:E18"/>
  </mergeCells>
  <phoneticPr fontId="0" type="noConversion"/>
  <conditionalFormatting sqref="C19:C48">
    <cfRule type="expression" dxfId="10" priority="7">
      <formula>ISTEXT($C19)</formula>
    </cfRule>
  </conditionalFormatting>
  <conditionalFormatting sqref="A19:L48">
    <cfRule type="expression" dxfId="9" priority="5">
      <formula>AND(ISTEXT($C19),$C19&lt;&gt;"Kinderkrankentag",$C19&lt;&gt;"Urlaub",$C19&lt;&gt;"Krank",$C19&lt;&gt;"Ausgleich")</formula>
    </cfRule>
  </conditionalFormatting>
  <conditionalFormatting sqref="D19:H48">
    <cfRule type="expression" dxfId="8" priority="4">
      <formula>AND(ISTEXT($C19),OR($C19="Kinderkrankentag",$C19="Urlaub",$C19="Krank",$C19="Ausgleich"))</formula>
    </cfRule>
  </conditionalFormatting>
  <conditionalFormatting sqref="D19:J48">
    <cfRule type="expression" dxfId="7" priority="3">
      <formula>AND(ISTEXT($C19),$C19&lt;&gt;"Kinderkrankentag",$C19&lt;&gt;"Urlaub",$C19&lt;&gt;"Krank",$C19&lt;&gt;"Ausgleich")</formula>
    </cfRule>
  </conditionalFormatting>
  <conditionalFormatting sqref="A19:A48 C19:L48">
    <cfRule type="expression" dxfId="6" priority="1">
      <formula>COUNT(SEARCH(Sonderarbeit,$N19))&gt;=1</formula>
    </cfRule>
  </conditionalFormatting>
  <conditionalFormatting sqref="F19:F48">
    <cfRule type="expression" dxfId="5"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5" xr:uid="{791649BB-64C0-4CB1-BAE0-2F1FD4855579}">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91CE6FA5-0E9E-4B4A-B5F5-11E5A78FEEF0}">
            <xm:f>AND($B19=Ref!$A$8, $H$56&gt;0.00001)</xm:f>
            <x14:dxf>
              <font>
                <b val="0"/>
                <i val="0"/>
                <color theme="1"/>
              </font>
            </x14:dxf>
          </x14:cfRule>
          <xm:sqref>C19:C48</xm:sqref>
        </x14:conditionalFormatting>
        <x14:conditionalFormatting xmlns:xm="http://schemas.microsoft.com/office/excel/2006/main">
          <x14:cfRule type="expression" priority="6" id="{913F7B1E-2E5C-4778-AB03-8DD1DF392FBC}">
            <xm:f>OR(AND($B19=Ref!$A$7,$H$55=0), AND($B19=Ref!$A$8,$H$56=0), NOT( ISERROR(FIND("feiertag",LOWER($C19)) ) ) )</xm:f>
            <x14:dxf>
              <fill>
                <patternFill patternType="solid">
                  <bgColor rgb="FF99CCFF"/>
                </patternFill>
              </fill>
            </x14:dxf>
          </x14:cfRule>
          <xm:sqref>A19:L48</xm:sqref>
        </x14:conditionalFormatting>
        <x14:conditionalFormatting xmlns:xm="http://schemas.microsoft.com/office/excel/2006/main">
          <x14:cfRule type="expression" priority="8" id="{5DA97F57-BC46-4324-B72F-2F45AEAA0A3D}">
            <xm:f>OR(AND($B19=Ref!$A$7, $H$55&lt;0.00001),AND($B19=Ref!$A$8, $H$56&lt;0.00001))</xm:f>
            <x14:dxf>
              <font>
                <color rgb="FF99CCFF"/>
              </font>
              <fill>
                <patternFill>
                  <bgColor rgb="FF99CCFF"/>
                </patternFill>
              </fill>
            </x14:dxf>
          </x14:cfRule>
          <xm:sqref>C19:J48</xm:sqref>
        </x14:conditionalFormatting>
        <x14:conditionalFormatting xmlns:xm="http://schemas.microsoft.com/office/excel/2006/main">
          <x14:cfRule type="expression" priority="9" id="{C25B57F9-BFE5-4ACD-92A2-E276DF035ABA}">
            <xm:f>AND($B19=Ref!$A$7, $H$55&gt;0.00001)</xm:f>
            <x14:dxf>
              <font>
                <b val="0"/>
                <i val="0"/>
                <color theme="1"/>
              </font>
            </x14:dxf>
          </x14:cfRule>
          <xm:sqref>F19:G48</xm:sqref>
        </x14:conditionalFormatting>
        <x14:conditionalFormatting xmlns:xm="http://schemas.microsoft.com/office/excel/2006/main">
          <x14:cfRule type="expression" priority="2" id="{56EF5335-7C60-49A1-A90E-84565F7F32D6}">
            <xm:f>AND(OR(AND($F19 &gt; 0.250001, $E19 &lt; 0.020833332), AND($F19 &gt; 0.375, $E19 &lt; 0.03124999)  ),OR(AND($B4&lt;&gt;Ref!$A$7, $B4&lt;&gt;Ref!$A$8),COUNT(SEARCH(Sonderarbeit,$N19))&gt;=1),ISNUMBER($C19))</xm:f>
            <x14:dxf>
              <fill>
                <patternFill>
                  <bgColor rgb="FFFF0000"/>
                </patternFill>
              </fill>
            </x14:dxf>
          </x14:cfRule>
          <xm:sqref>E19:E48</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49." xr:uid="{C5A26155-6F6A-4956-A3DB-5B5D90D06656}">
          <x14:formula1>
            <xm:f>NOT(OFFSET(C19,0,2-COLUMN(C19))=Ref!$A$7)</xm:f>
          </x14:formula1>
          <xm:sqref>C19:E48</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pageSetUpPr fitToPage="1"/>
  </sheetPr>
  <dimension ref="A1:O62"/>
  <sheetViews>
    <sheetView zoomScaleNormal="100" workbookViewId="0">
      <selection activeCell="A4" sqref="A4:E6"/>
    </sheetView>
  </sheetViews>
  <sheetFormatPr defaultColWidth="11.54296875" defaultRowHeight="12.5" x14ac:dyDescent="0.25"/>
  <cols>
    <col min="1" max="1" width="5.54296875" style="4" customWidth="1"/>
    <col min="2" max="2" width="9.08984375" style="5" customWidth="1"/>
    <col min="3" max="3" width="13.1796875" style="5" bestFit="1" customWidth="1"/>
    <col min="4" max="4" width="9.08984375" style="5" customWidth="1"/>
    <col min="5" max="5" width="8.54296875" style="2" customWidth="1"/>
    <col min="6" max="6" width="7.08984375" style="2" customWidth="1"/>
    <col min="7" max="7" width="3.1796875" style="2" customWidth="1"/>
    <col min="8" max="8" width="9.08984375" style="2" customWidth="1"/>
    <col min="9" max="9" width="9.90625" style="2" customWidth="1"/>
    <col min="10" max="10" width="10.36328125" style="2" customWidth="1"/>
    <col min="11" max="11" width="2.90625" style="2" customWidth="1"/>
    <col min="12" max="12" width="8.90625" style="2" customWidth="1"/>
    <col min="13" max="13" width="16.36328125" style="177" customWidth="1"/>
    <col min="14" max="14" width="18.1796875" style="178" customWidth="1"/>
    <col min="15" max="16384" width="11.54296875" style="2"/>
  </cols>
  <sheetData>
    <row r="1" spans="1:14" ht="15.5" x14ac:dyDescent="0.35">
      <c r="A1" s="289" t="s">
        <v>53</v>
      </c>
      <c r="B1" s="289"/>
      <c r="C1" s="289"/>
      <c r="D1" s="289"/>
      <c r="E1" s="289"/>
      <c r="F1" s="1"/>
      <c r="G1" s="277" t="s">
        <v>9</v>
      </c>
      <c r="H1" s="277"/>
      <c r="I1" s="277"/>
      <c r="J1" s="277"/>
    </row>
    <row r="2" spans="1:14" ht="15.5" x14ac:dyDescent="0.35">
      <c r="A2" s="289"/>
      <c r="B2" s="289"/>
      <c r="C2" s="289"/>
      <c r="D2" s="289"/>
      <c r="E2" s="289"/>
      <c r="F2" s="3"/>
      <c r="G2" s="277"/>
      <c r="H2" s="277"/>
      <c r="I2" s="277"/>
      <c r="J2" s="277"/>
    </row>
    <row r="3" spans="1:14" ht="13" x14ac:dyDescent="0.3">
      <c r="A3" s="288" t="s">
        <v>11</v>
      </c>
      <c r="B3" s="288"/>
      <c r="C3" s="288"/>
      <c r="D3" s="288"/>
      <c r="E3" s="288"/>
      <c r="G3" s="277"/>
      <c r="H3" s="277"/>
      <c r="I3" s="277"/>
      <c r="J3" s="277"/>
    </row>
    <row r="4" spans="1:14" ht="13.25" customHeight="1" x14ac:dyDescent="0.25">
      <c r="A4" s="278" t="s">
        <v>5</v>
      </c>
      <c r="B4" s="278"/>
      <c r="C4" s="278"/>
      <c r="D4" s="278"/>
      <c r="E4" s="278"/>
      <c r="F4" s="6"/>
      <c r="G4" s="277"/>
      <c r="H4" s="277"/>
      <c r="I4" s="277"/>
      <c r="J4" s="277"/>
    </row>
    <row r="5" spans="1:14" ht="6" customHeight="1" x14ac:dyDescent="0.25">
      <c r="A5" s="278"/>
      <c r="B5" s="278"/>
      <c r="C5" s="278"/>
      <c r="D5" s="278"/>
      <c r="E5" s="278"/>
      <c r="F5" s="6"/>
      <c r="G5" s="277"/>
      <c r="H5" s="277"/>
      <c r="I5" s="277"/>
      <c r="J5" s="277"/>
    </row>
    <row r="6" spans="1:14" ht="13.25" customHeight="1" x14ac:dyDescent="0.25">
      <c r="A6" s="278"/>
      <c r="B6" s="278"/>
      <c r="C6" s="278"/>
      <c r="D6" s="278"/>
      <c r="E6" s="278"/>
      <c r="F6" s="6"/>
      <c r="G6" s="277"/>
      <c r="H6" s="277"/>
      <c r="I6" s="277"/>
      <c r="J6" s="277"/>
    </row>
    <row r="7" spans="1:14" ht="13.25" customHeight="1" x14ac:dyDescent="0.25">
      <c r="A7" s="6"/>
      <c r="B7" s="6"/>
      <c r="C7" s="6"/>
      <c r="D7" s="6"/>
      <c r="E7" s="6"/>
      <c r="F7" s="6"/>
      <c r="G7" s="277"/>
      <c r="H7" s="277"/>
      <c r="I7" s="277"/>
      <c r="J7" s="277"/>
    </row>
    <row r="8" spans="1:14" ht="6" customHeight="1" thickBot="1" x14ac:dyDescent="0.3">
      <c r="A8" s="7"/>
      <c r="B8" s="8"/>
      <c r="C8" s="8"/>
      <c r="D8" s="8"/>
      <c r="E8" s="9"/>
      <c r="F8" s="9"/>
      <c r="G8" s="9"/>
      <c r="H8" s="9"/>
      <c r="I8" s="10"/>
      <c r="J8" s="10"/>
      <c r="K8" s="11"/>
      <c r="L8" s="12"/>
    </row>
    <row r="9" spans="1:14" ht="6" customHeight="1" x14ac:dyDescent="0.25">
      <c r="A9" s="13"/>
      <c r="B9" s="14"/>
      <c r="C9" s="14"/>
      <c r="D9" s="14"/>
      <c r="E9" s="15"/>
      <c r="F9" s="15"/>
      <c r="G9" s="15"/>
      <c r="H9" s="15"/>
      <c r="I9" s="16"/>
      <c r="J9" s="16"/>
      <c r="K9" s="17"/>
      <c r="L9" s="18"/>
    </row>
    <row r="10" spans="1:14" ht="13" x14ac:dyDescent="0.3">
      <c r="A10" s="119"/>
      <c r="B10" s="120"/>
      <c r="C10" s="120"/>
      <c r="D10" s="120"/>
      <c r="E10" s="121"/>
      <c r="F10" s="121"/>
      <c r="G10" s="121"/>
      <c r="H10" s="105"/>
      <c r="I10" s="122"/>
      <c r="J10" s="122"/>
      <c r="K10" s="123"/>
      <c r="L10" s="124"/>
    </row>
    <row r="11" spans="1:14" ht="13" x14ac:dyDescent="0.3">
      <c r="A11" s="290" t="s">
        <v>6</v>
      </c>
      <c r="B11" s="290"/>
      <c r="C11" s="125" t="str">
        <f>Nov!C11</f>
        <v>ATHENE, Pallas</v>
      </c>
      <c r="D11" s="126"/>
      <c r="E11" s="127"/>
      <c r="F11" s="128"/>
      <c r="G11" s="128" t="s">
        <v>8</v>
      </c>
      <c r="H11" s="129"/>
      <c r="I11" s="130">
        <f>DATE(J11,12,1)</f>
        <v>45992</v>
      </c>
      <c r="J11" s="131">
        <f>Jan!J11</f>
        <v>2025</v>
      </c>
      <c r="K11" s="132"/>
      <c r="L11" s="133"/>
    </row>
    <row r="12" spans="1:14" ht="13" x14ac:dyDescent="0.3">
      <c r="A12" s="134"/>
      <c r="B12" s="124"/>
      <c r="C12" s="135"/>
      <c r="D12" s="136"/>
      <c r="E12" s="128"/>
      <c r="F12" s="128"/>
      <c r="G12" s="121"/>
      <c r="H12" s="105"/>
      <c r="I12" s="122"/>
      <c r="J12" s="122"/>
      <c r="K12" s="123"/>
      <c r="L12" s="124"/>
    </row>
    <row r="13" spans="1:14" ht="13" x14ac:dyDescent="0.3">
      <c r="A13" s="290" t="s">
        <v>7</v>
      </c>
      <c r="B13" s="290"/>
      <c r="C13" s="125" t="str">
        <f>Nov!C13</f>
        <v>Geschäftsstelle</v>
      </c>
      <c r="D13" s="139"/>
      <c r="E13" s="127"/>
      <c r="F13" s="140"/>
      <c r="G13" s="140"/>
      <c r="H13" s="129"/>
      <c r="I13" s="126"/>
      <c r="J13" s="127"/>
      <c r="K13" s="132"/>
      <c r="L13" s="133"/>
    </row>
    <row r="14" spans="1:14" ht="13.5" thickBot="1" x14ac:dyDescent="0.35">
      <c r="A14" s="134"/>
      <c r="B14" s="141"/>
      <c r="C14" s="141"/>
      <c r="D14" s="141"/>
      <c r="E14" s="105"/>
      <c r="F14" s="105"/>
      <c r="G14" s="105"/>
      <c r="H14" s="105"/>
      <c r="I14" s="105"/>
      <c r="J14" s="105"/>
      <c r="K14" s="123"/>
      <c r="L14" s="124"/>
    </row>
    <row r="15" spans="1:14" ht="13.25" customHeight="1" x14ac:dyDescent="0.25">
      <c r="A15" s="282"/>
      <c r="B15" s="282" t="s">
        <v>14</v>
      </c>
      <c r="C15" s="282" t="s">
        <v>130</v>
      </c>
      <c r="D15" s="282" t="s">
        <v>19</v>
      </c>
      <c r="E15" s="282" t="s">
        <v>16</v>
      </c>
      <c r="F15" s="283" t="s">
        <v>44</v>
      </c>
      <c r="G15" s="283"/>
      <c r="H15" s="279" t="s">
        <v>45</v>
      </c>
      <c r="I15" s="285" t="s">
        <v>0</v>
      </c>
      <c r="J15" s="285"/>
      <c r="K15" s="244" t="s">
        <v>43</v>
      </c>
      <c r="L15" s="245"/>
    </row>
    <row r="16" spans="1:14" ht="13" thickBot="1" x14ac:dyDescent="0.3">
      <c r="A16" s="282"/>
      <c r="B16" s="282"/>
      <c r="C16" s="282"/>
      <c r="D16" s="282"/>
      <c r="E16" s="282"/>
      <c r="F16" s="283"/>
      <c r="G16" s="283"/>
      <c r="H16" s="280"/>
      <c r="I16" s="84" t="s">
        <v>1</v>
      </c>
      <c r="J16" s="84" t="s">
        <v>2</v>
      </c>
      <c r="K16" s="246"/>
      <c r="L16" s="247"/>
      <c r="N16" s="179"/>
    </row>
    <row r="17" spans="1:14" ht="13" thickBot="1" x14ac:dyDescent="0.3">
      <c r="A17" s="282"/>
      <c r="B17" s="282"/>
      <c r="C17" s="282"/>
      <c r="D17" s="282"/>
      <c r="E17" s="282"/>
      <c r="F17" s="283"/>
      <c r="G17" s="283"/>
      <c r="H17" s="280"/>
      <c r="I17" s="286">
        <f>IF(Mantelbogen!D26=I11,Mantelbogen!C28,Nov!I52)</f>
        <v>0.95833333333333504</v>
      </c>
      <c r="J17" s="287" t="str">
        <f>IF(Mantelbogen!D26=I11,Mantelbogen!D28,Nov!J52)</f>
        <v/>
      </c>
      <c r="K17" s="248" t="str">
        <f>IF(I17/H58 &gt; 1, I17/H58, " " )</f>
        <v xml:space="preserve"> </v>
      </c>
      <c r="L17" s="249"/>
      <c r="N17" s="180"/>
    </row>
    <row r="18" spans="1:14" ht="13" thickBot="1" x14ac:dyDescent="0.3">
      <c r="A18" s="282"/>
      <c r="B18" s="282"/>
      <c r="C18" s="282"/>
      <c r="D18" s="282"/>
      <c r="E18" s="282"/>
      <c r="F18" s="283"/>
      <c r="G18" s="283"/>
      <c r="H18" s="281"/>
      <c r="I18" s="286"/>
      <c r="J18" s="287"/>
      <c r="K18" s="250"/>
      <c r="L18" s="251"/>
      <c r="N18" s="180"/>
    </row>
    <row r="19" spans="1:14" ht="17.399999999999999" customHeight="1" x14ac:dyDescent="0.55000000000000004">
      <c r="A19" s="86">
        <v>1</v>
      </c>
      <c r="B19" s="85" t="str">
        <f>TEXT(DATE(J$11,MONTH(I$11),A19),Textcode)</f>
        <v>Montag</v>
      </c>
      <c r="C19" s="87">
        <v>0.35416666666666669</v>
      </c>
      <c r="D19" s="213">
        <f t="array" ref="D19">IF(AND(COUNT(SEARCH(Sonderarbeit,$N19,1))&gt;=1,$B19=Ref!$A$7),Ref!$K$1,Ref!$K$2)</f>
        <v>0.70833333333333337</v>
      </c>
      <c r="E19" s="213">
        <f t="array" ref="E19">IF(AND(COUNT(SEARCH(Sonderarbeit,$N19))&gt;=1,$B19=Ref!$A$7),,Ref!$K$3)</f>
        <v>2.0833333333333332E-2</v>
      </c>
      <c r="F19" s="270">
        <f>IF(ISTEXT(C19),,D19-C19-E19)</f>
        <v>0.33333333333333337</v>
      </c>
      <c r="G19" s="271"/>
      <c r="H19" s="88">
        <f t="shared" ref="H19:H23" si="0">IF(AND(ISTEXT(C19),ISERR(SEARCH("ausgleich",C19,1))),,INDEX(H$51:H$58,WEEKDAY(DATE(J$11,MONTH(I$11),A19),2),1,1))</f>
        <v>0.33333333333333331</v>
      </c>
      <c r="I19" s="89" t="str">
        <f>IF(AND(F19&gt;H19,OR(AND(OR($B19&lt;&gt;Ref!$A$7,$H$56&gt;0),OR($B19&lt;&gt;Ref!$A$8,$H$57&gt;0)),COUNT(SEARCH(Sonderarbeit,$N19))&gt;=1),ISNONTEXT(C19),C19&lt;&gt;""),F19-H19,"")</f>
        <v/>
      </c>
      <c r="J19" s="90" t="str">
        <f>IF(OR(AND(F19&lt;H19,OR(AND(OR($B19&lt;&gt;Ref!$A$7,$H$56&gt;0),OR($B19&lt;&gt;Ref!$A$8,$H$57&gt;0)),COUNT(SEARCH(Sonderarbeit,$N19))&gt;=1)),C19="Ausgleich"),H19-F19,"")</f>
        <v/>
      </c>
      <c r="K19" s="170" t="str">
        <f>IF(AND(B19=Ref!$A$8,SUM(I19:I19)&lt;SUM(J19:J19)),"-","")</f>
        <v/>
      </c>
      <c r="L19" s="171" t="str">
        <f>IF(B19=Ref!$A$8,ABS(SUM(I19:I19)-SUM(J19:J19)),"")</f>
        <v/>
      </c>
      <c r="M19" s="181"/>
      <c r="N19" s="181"/>
    </row>
    <row r="20" spans="1:14" ht="17.399999999999999" customHeight="1" x14ac:dyDescent="0.55000000000000004">
      <c r="A20" s="86">
        <v>2</v>
      </c>
      <c r="B20" s="85" t="str">
        <f t="shared" ref="B20:B49" si="1">TEXT(DATE(J$11,MONTH(I$11),A20),Textcode)</f>
        <v>Dienstag</v>
      </c>
      <c r="C20" s="87">
        <v>0.35416666666666669</v>
      </c>
      <c r="D20" s="213">
        <f t="array" ref="D20">IF(AND(COUNT(SEARCH(Sonderarbeit,$N20,1))&gt;=1,$B20=Ref!$A$7),Ref!$K$1,Ref!$K$2)</f>
        <v>0.70833333333333337</v>
      </c>
      <c r="E20" s="213">
        <f t="array" ref="E20">IF(AND(COUNT(SEARCH(Sonderarbeit,$N20))&gt;=1,$B20=Ref!$A$7),,Ref!$K$3)</f>
        <v>2.0833333333333332E-2</v>
      </c>
      <c r="F20" s="270">
        <f>IF(ISTEXT(C20),,D20-C20-E20)</f>
        <v>0.33333333333333337</v>
      </c>
      <c r="G20" s="271"/>
      <c r="H20" s="88">
        <f t="shared" si="0"/>
        <v>0.33333333333333331</v>
      </c>
      <c r="I20" s="89" t="str">
        <f>IF(AND(F20&gt;H20,OR(AND(OR($B20&lt;&gt;Ref!$A$7,$H$56&gt;0),OR($B20&lt;&gt;Ref!$A$8,$H$57&gt;0)),COUNT(SEARCH(Sonderarbeit,$N20))&gt;=1),ISNONTEXT(C20),C20&lt;&gt;""),F20-H20,"")</f>
        <v/>
      </c>
      <c r="J20" s="90" t="str">
        <f>IF(OR(AND(F20&lt;H20,OR(AND(OR($B20&lt;&gt;Ref!$A$7,$H$56&gt;0),OR($B20&lt;&gt;Ref!$A$8,$H$57&gt;0)),COUNT(SEARCH(Sonderarbeit,$N20))&gt;=1)),C20="Ausgleich"),H20-F20,"")</f>
        <v/>
      </c>
      <c r="K20" s="91" t="str">
        <f>IF(AND(B20=Ref!$A$8,SUM(I19:I20)&lt;SUM(J19:J20)),"-","")</f>
        <v/>
      </c>
      <c r="L20" s="92" t="str">
        <f>IF(B20=Ref!$A$8,ABS(SUM(I19:I20)-SUM(J19:J20)),"")</f>
        <v/>
      </c>
      <c r="N20" s="181"/>
    </row>
    <row r="21" spans="1:14" ht="17.399999999999999" customHeight="1" x14ac:dyDescent="0.55000000000000004">
      <c r="A21" s="93">
        <v>3</v>
      </c>
      <c r="B21" s="85" t="str">
        <f t="shared" si="1"/>
        <v>Mittwoch</v>
      </c>
      <c r="C21" s="87">
        <v>0.35416666666666669</v>
      </c>
      <c r="D21" s="213">
        <f t="array" ref="D21">IF(AND(COUNT(SEARCH(Sonderarbeit,$N21,1))&gt;=1,$B21=Ref!$A$7),Ref!$K$1,Ref!$K$2)</f>
        <v>0.70833333333333337</v>
      </c>
      <c r="E21" s="213">
        <f t="array" ref="E21">IF(AND(COUNT(SEARCH(Sonderarbeit,$N21))&gt;=1,$B21=Ref!$A$7),,Ref!$K$3)</f>
        <v>2.0833333333333332E-2</v>
      </c>
      <c r="F21" s="270">
        <f t="shared" ref="F21:F49" si="2">IF(ISTEXT(C21),,D21-C21-E21)</f>
        <v>0.33333333333333337</v>
      </c>
      <c r="G21" s="271"/>
      <c r="H21" s="88">
        <f t="shared" si="0"/>
        <v>0.33333333333333331</v>
      </c>
      <c r="I21" s="89" t="str">
        <f>IF(AND(F21&gt;H21,OR(AND(OR($B21&lt;&gt;Ref!$A$7,$H$56&gt;0),OR($B21&lt;&gt;Ref!$A$8,$H$57&gt;0)),COUNT(SEARCH(Sonderarbeit,$N21))&gt;=1),ISNONTEXT(C21),C21&lt;&gt;""),F21-H21,"")</f>
        <v/>
      </c>
      <c r="J21" s="90" t="str">
        <f>IF(OR(AND(F21&lt;H21,OR(AND(OR($B21&lt;&gt;Ref!$A$7,$H$56&gt;0),OR($B21&lt;&gt;Ref!$A$8,$H$57&gt;0)),COUNT(SEARCH(Sonderarbeit,$N21))&gt;=1)),C21="Ausgleich"),H21-F21,"")</f>
        <v/>
      </c>
      <c r="K21" s="91" t="str">
        <f>IF(AND(B21=Ref!$A$8,SUM(I19:I21)&lt;SUM(J19:J21)),"-","")</f>
        <v/>
      </c>
      <c r="L21" s="92" t="str">
        <f>IF(B21=Ref!$A$8,ABS(SUM(I19:I21)-SUM(J19:J21)),"")</f>
        <v/>
      </c>
      <c r="N21" s="181"/>
    </row>
    <row r="22" spans="1:14" ht="17.399999999999999" customHeight="1" x14ac:dyDescent="0.55000000000000004">
      <c r="A22" s="94">
        <v>4</v>
      </c>
      <c r="B22" s="85" t="str">
        <f t="shared" si="1"/>
        <v>Donnerstag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0.33333333333333331</v>
      </c>
      <c r="I22" s="89" t="str">
        <f>IF(AND(F22&gt;H22,OR(AND(OR($B22&lt;&gt;Ref!$A$7,$H$56&gt;0),OR($B22&lt;&gt;Ref!$A$8,$H$57&gt;0)),COUNT(SEARCH(Sonderarbeit,$N22))&gt;=1),ISNONTEXT(C22),C22&lt;&gt;""),F22-H22,"")</f>
        <v/>
      </c>
      <c r="J22" s="90" t="str">
        <f>IF(OR(AND(F22&lt;H22,OR(AND(OR($B22&lt;&gt;Ref!$A$7,$H$56&gt;0),OR($B22&lt;&gt;Ref!$A$8,$H$57&gt;0)),COUNT(SEARCH(Sonderarbeit,$N22))&gt;=1)),C22="Ausgleich"),H22-F22,"")</f>
        <v/>
      </c>
      <c r="K22" s="91" t="str">
        <f>IF(AND(B22=Ref!$A$8,SUM(I19:I22)&lt;SUM(J19:J22)),"-","")</f>
        <v/>
      </c>
      <c r="L22" s="92" t="str">
        <f>IF(B22=Ref!$A$8,ABS(SUM(I19:I22)-SUM(J19:J22)),"")</f>
        <v/>
      </c>
      <c r="N22" s="181"/>
    </row>
    <row r="23" spans="1:14" ht="17.399999999999999" customHeight="1" x14ac:dyDescent="0.55000000000000004">
      <c r="A23" s="94">
        <v>5</v>
      </c>
      <c r="B23" s="85" t="str">
        <f t="shared" si="1"/>
        <v>Freitag</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0.3125</v>
      </c>
      <c r="I23" s="89">
        <f>IF(AND(F23&gt;H23,OR(AND(OR($B23&lt;&gt;Ref!$A$7,$H$56&gt;0),OR($B23&lt;&gt;Ref!$A$8,$H$57&gt;0)),COUNT(SEARCH(Sonderarbeit,$N23))&gt;=1),ISNONTEXT(C23),C23&lt;&gt;""),F23-H23,"")</f>
        <v>2.083333333333337E-2</v>
      </c>
      <c r="J23" s="90" t="str">
        <f>IF(OR(AND(F23&lt;H23,OR(AND(OR($B23&lt;&gt;Ref!$A$7,$H$56&gt;0),OR($B23&lt;&gt;Ref!$A$8,$H$57&gt;0)),COUNT(SEARCH(Sonderarbeit,$N23))&gt;=1)),C23="Ausgleich"),H23-F23,"")</f>
        <v/>
      </c>
      <c r="K23" s="91" t="str">
        <f>IF(AND(B23=Ref!$A$8,SUM(I19:I23)&lt;SUM(J19:J23)),"-","")</f>
        <v/>
      </c>
      <c r="L23" s="92" t="str">
        <f>IF(B23=Ref!$A$8,ABS(SUM(I19:I23)-SUM(J19:J23)),"")</f>
        <v/>
      </c>
      <c r="N23" s="181"/>
    </row>
    <row r="24" spans="1:14" ht="17.399999999999999" customHeight="1" x14ac:dyDescent="0.55000000000000004">
      <c r="A24" s="86">
        <v>6</v>
      </c>
      <c r="B24" s="85" t="str">
        <f t="shared" si="1"/>
        <v>Samstag</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IF(AND(ISTEXT(C24),ISERR(SEARCH("ausgleich",C24,1))),,INDEX(H$51:H$58,WEEKDAY(DATE(J$11,MONTH(I$11),A24),2),1,1))</f>
        <v>0</v>
      </c>
      <c r="I24" s="89" t="str">
        <f>IF(AND(F24&gt;H24,OR(AND(OR($B24&lt;&gt;Ref!$A$7,$H$56&gt;0),OR($B24&lt;&gt;Ref!$A$8,$H$57&gt;0)),COUNT(SEARCH(Sonderarbeit,$N24))&gt;=1),ISNONTEXT(C24),C24&lt;&gt;""),F24-H24,"")</f>
        <v/>
      </c>
      <c r="J24" s="90" t="str">
        <f>IF(OR(AND(F24&lt;H24,OR(AND(OR($B24&lt;&gt;Ref!$A$7,$H$56&gt;0),OR($B24&lt;&gt;Ref!$A$8,$H$57&gt;0)),COUNT(SEARCH(Sonderarbeit,$N24))&gt;=1)),C24="Ausgleich"),H24-F24,"")</f>
        <v/>
      </c>
      <c r="K24" s="91" t="str">
        <f>IF(AND(B24=Ref!$A$8,SUM(I19:I24)&lt;SUM(J19:J24)),"-","")</f>
        <v/>
      </c>
      <c r="L24" s="92" t="str">
        <f>IF(B24=Ref!$A$8,ABS(SUM(I19:I24)-SUM(J19:J24)),"")</f>
        <v/>
      </c>
      <c r="N24" s="181"/>
    </row>
    <row r="25" spans="1:14" ht="17.399999999999999" customHeight="1" x14ac:dyDescent="0.55000000000000004">
      <c r="A25" s="94">
        <v>7</v>
      </c>
      <c r="B25" s="85" t="str">
        <f t="shared" si="1"/>
        <v>Sonntag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ref="H25:H49" si="3">IF(AND(ISTEXT(C25),ISERR(SEARCH("ausgleich",C25,1))),,INDEX(H$51:H$58,WEEKDAY(DATE(J$11,MONTH(I$11),A25),2),1,1))</f>
        <v>0</v>
      </c>
      <c r="I25" s="89" t="str">
        <f>IF(AND(F25&gt;H25,OR(AND(OR($B25&lt;&gt;Ref!$A$7,$H$56&gt;0),OR($B25&lt;&gt;Ref!$A$8,$H$57&gt;0)),COUNT(SEARCH(Sonderarbeit,$N25))&gt;=1),ISNONTEXT(C25),C25&lt;&gt;""),F25-H25,"")</f>
        <v/>
      </c>
      <c r="J25" s="90" t="str">
        <f>IF(OR(AND(F25&lt;H25,OR(AND(OR($B25&lt;&gt;Ref!$A$7,$H$56&gt;0),OR($B25&lt;&gt;Ref!$A$8,$H$57&gt;0)),COUNT(SEARCH(Sonderarbeit,$N25))&gt;=1)),C25="Ausgleich"),H25-F25,"")</f>
        <v/>
      </c>
      <c r="K25" s="91" t="str">
        <f>IF(AND(B25=Ref!$A$8,SUM(I19:I25)&lt;SUM(J19:J25)),"-","")</f>
        <v/>
      </c>
      <c r="L25" s="92">
        <f>IF(B25=Ref!$A$8,ABS(SUM(I19:I25)-SUM(J19:J25)),"")</f>
        <v>2.083333333333337E-2</v>
      </c>
      <c r="N25" s="181"/>
    </row>
    <row r="26" spans="1:14" ht="17.399999999999999" customHeight="1" x14ac:dyDescent="0.55000000000000004">
      <c r="A26" s="94">
        <v>8</v>
      </c>
      <c r="B26" s="85" t="str">
        <f t="shared" si="1"/>
        <v>Montag</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3"/>
        <v>0.33333333333333331</v>
      </c>
      <c r="I26" s="89" t="str">
        <f>IF(AND(F26&gt;H26,OR(AND(OR($B26&lt;&gt;Ref!$A$7,$H$56&gt;0),OR($B26&lt;&gt;Ref!$A$8,$H$57&gt;0)),COUNT(SEARCH(Sonderarbeit,$N26))&gt;=1),ISNONTEXT(C26),C26&lt;&gt;""),F26-H26,"")</f>
        <v/>
      </c>
      <c r="J26" s="90" t="str">
        <f>IF(OR(AND(F26&lt;H26,OR(AND(OR($B26&lt;&gt;Ref!$A$7,$H$56&gt;0),OR($B26&lt;&gt;Ref!$A$8,$H$57&gt;0)),COUNT(SEARCH(Sonderarbeit,$N26))&gt;=1)),C26="Ausgleich"),H26-F26,"")</f>
        <v/>
      </c>
      <c r="K26" s="91" t="str">
        <f>IF(AND(B26=Ref!$A$8,SUM(I20:I26)&lt;SUM(J20:J26)),"-","")</f>
        <v/>
      </c>
      <c r="L26" s="92" t="str">
        <f>IF(B26=Ref!$A$8,ABS(SUM(I20:I26)-SUM(J20:J26)),"")</f>
        <v/>
      </c>
      <c r="N26" s="181"/>
    </row>
    <row r="27" spans="1:14" ht="17.399999999999999" customHeight="1" x14ac:dyDescent="0.55000000000000004">
      <c r="A27" s="86">
        <v>9</v>
      </c>
      <c r="B27" s="85" t="str">
        <f t="shared" si="1"/>
        <v>Dienstag</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3"/>
        <v>0.33333333333333331</v>
      </c>
      <c r="I27" s="89" t="str">
        <f>IF(AND(F27&gt;H27,OR(AND(OR($B27&lt;&gt;Ref!$A$7,$H$56&gt;0),OR($B27&lt;&gt;Ref!$A$8,$H$57&gt;0)),COUNT(SEARCH(Sonderarbeit,$N27))&gt;=1),ISNONTEXT(C27),C27&lt;&gt;""),F27-H27,"")</f>
        <v/>
      </c>
      <c r="J27" s="90" t="str">
        <f>IF(OR(AND(F27&lt;H27,OR(AND(OR($B27&lt;&gt;Ref!$A$7,$H$56&gt;0),OR($B27&lt;&gt;Ref!$A$8,$H$57&gt;0)),COUNT(SEARCH(Sonderarbeit,$N27))&gt;=1)),C27="Ausgleich"),H27-F27,"")</f>
        <v/>
      </c>
      <c r="K27" s="91" t="str">
        <f>IF(AND(B27=Ref!$A$8,SUM(I21:I27)&lt;SUM(J21:J27)),"-","")</f>
        <v/>
      </c>
      <c r="L27" s="92" t="str">
        <f>IF(B27=Ref!$A$8,ABS(SUM(I21:I27)-SUM(J21:J27)),"")</f>
        <v/>
      </c>
      <c r="N27" s="181"/>
    </row>
    <row r="28" spans="1:14" ht="17.399999999999999" customHeight="1" x14ac:dyDescent="0.55000000000000004">
      <c r="A28" s="86">
        <v>10</v>
      </c>
      <c r="B28" s="85" t="str">
        <f t="shared" si="1"/>
        <v>Mittwoch</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3"/>
        <v>0.33333333333333331</v>
      </c>
      <c r="I28" s="89" t="str">
        <f>IF(AND(F28&gt;H28,OR(AND(OR($B28&lt;&gt;Ref!$A$7,$H$56&gt;0),OR($B28&lt;&gt;Ref!$A$8,$H$57&gt;0)),COUNT(SEARCH(Sonderarbeit,$N28))&gt;=1),ISNONTEXT(C28),C28&lt;&gt;""),F28-H28,"")</f>
        <v/>
      </c>
      <c r="J28" s="90" t="str">
        <f>IF(OR(AND(F28&lt;H28,OR(AND(OR($B28&lt;&gt;Ref!$A$7,$H$56&gt;0),OR($B28&lt;&gt;Ref!$A$8,$H$57&gt;0)),COUNT(SEARCH(Sonderarbeit,$N28))&gt;=1)),C28="Ausgleich"),H28-F28,"")</f>
        <v/>
      </c>
      <c r="K28" s="91" t="str">
        <f>IF(AND(B28=Ref!$A$8,SUM(I22:I28)&lt;SUM(J22:J28)),"-","")</f>
        <v/>
      </c>
      <c r="L28" s="92" t="str">
        <f>IF(B28=Ref!$A$8,ABS(SUM(I22:I28)-SUM(J22:J28)),"")</f>
        <v/>
      </c>
      <c r="N28" s="181"/>
    </row>
    <row r="29" spans="1:14" ht="17.399999999999999" customHeight="1" x14ac:dyDescent="0.55000000000000004">
      <c r="A29" s="94">
        <v>11</v>
      </c>
      <c r="B29" s="85" t="str">
        <f t="shared" si="1"/>
        <v>Donnerstag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3"/>
        <v>0.33333333333333331</v>
      </c>
      <c r="I29" s="89" t="str">
        <f>IF(AND(F29&gt;H29,OR(AND(OR($B29&lt;&gt;Ref!$A$7,$H$56&gt;0),OR($B29&lt;&gt;Ref!$A$8,$H$57&gt;0)),COUNT(SEARCH(Sonderarbeit,$N29))&gt;=1),ISNONTEXT(C29),C29&lt;&gt;""),F29-H29,"")</f>
        <v/>
      </c>
      <c r="J29" s="90" t="str">
        <f>IF(OR(AND(F29&lt;H29,OR(AND(OR($B29&lt;&gt;Ref!$A$7,$H$56&gt;0),OR($B29&lt;&gt;Ref!$A$8,$H$57&gt;0)),COUNT(SEARCH(Sonderarbeit,$N29))&gt;=1)),C29="Ausgleich"),H29-F29,"")</f>
        <v/>
      </c>
      <c r="K29" s="91" t="str">
        <f>IF(AND(B29=Ref!$A$8,SUM(I23:I29)&lt;SUM(J23:J29)),"-","")</f>
        <v/>
      </c>
      <c r="L29" s="92" t="str">
        <f>IF(B29=Ref!$A$8,ABS(SUM(I23:I29)-SUM(J23:J29)),"")</f>
        <v/>
      </c>
      <c r="N29" s="181"/>
    </row>
    <row r="30" spans="1:14" ht="17.399999999999999" customHeight="1" x14ac:dyDescent="0.55000000000000004">
      <c r="A30" s="94">
        <v>12</v>
      </c>
      <c r="B30" s="85" t="str">
        <f t="shared" si="1"/>
        <v>Freitag</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3"/>
        <v>0.3125</v>
      </c>
      <c r="I30" s="89">
        <f>IF(AND(F30&gt;H30,OR(AND(OR($B30&lt;&gt;Ref!$A$7,$H$56&gt;0),OR($B30&lt;&gt;Ref!$A$8,$H$57&gt;0)),COUNT(SEARCH(Sonderarbeit,$N30))&gt;=1),ISNONTEXT(C30),C30&lt;&gt;""),F30-H30,"")</f>
        <v>2.083333333333337E-2</v>
      </c>
      <c r="J30" s="90" t="str">
        <f>IF(OR(AND(F30&lt;H30,OR(AND(OR($B30&lt;&gt;Ref!$A$7,$H$56&gt;0),OR($B30&lt;&gt;Ref!$A$8,$H$57&gt;0)),COUNT(SEARCH(Sonderarbeit,$N30))&gt;=1)),C30="Ausgleich"),H30-F30,"")</f>
        <v/>
      </c>
      <c r="K30" s="91" t="str">
        <f>IF(AND(B30=Ref!$A$8,SUM(I24:I30)&lt;SUM(J24:J30)),"-","")</f>
        <v/>
      </c>
      <c r="L30" s="92" t="str">
        <f>IF(B30=Ref!$A$8,ABS(SUM(I24:I30)-SUM(J24:J30)),"")</f>
        <v/>
      </c>
      <c r="N30" s="181"/>
    </row>
    <row r="31" spans="1:14" ht="17.399999999999999" customHeight="1" x14ac:dyDescent="0.55000000000000004">
      <c r="A31" s="94">
        <v>13</v>
      </c>
      <c r="B31" s="85" t="str">
        <f t="shared" si="1"/>
        <v>Samstag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3"/>
        <v>0</v>
      </c>
      <c r="I31" s="89" t="str">
        <f>IF(AND(F31&gt;H31,OR(AND(OR($B31&lt;&gt;Ref!$A$7,$H$56&gt;0),OR($B31&lt;&gt;Ref!$A$8,$H$57&gt;0)),COUNT(SEARCH(Sonderarbeit,$N31))&gt;=1),ISNONTEXT(C31),C31&lt;&gt;""),F31-H31,"")</f>
        <v/>
      </c>
      <c r="J31" s="90" t="str">
        <f>IF(OR(AND(F31&lt;H31,OR(AND(OR($B31&lt;&gt;Ref!$A$7,$H$56&gt;0),OR($B31&lt;&gt;Ref!$A$8,$H$57&gt;0)),COUNT(SEARCH(Sonderarbeit,$N31))&gt;=1)),C31="Ausgleich"),H31-F31,"")</f>
        <v/>
      </c>
      <c r="K31" s="91" t="str">
        <f>IF(AND(B31=Ref!$A$8,SUM(I25:I31)&lt;SUM(J25:J31)),"-","")</f>
        <v/>
      </c>
      <c r="L31" s="92" t="str">
        <f>IF(B31=Ref!$A$8,ABS(SUM(I25:I31)-SUM(J25:J31)),"")</f>
        <v/>
      </c>
      <c r="N31" s="181"/>
    </row>
    <row r="32" spans="1:14" ht="17.399999999999999" customHeight="1" x14ac:dyDescent="0.55000000000000004">
      <c r="A32" s="94">
        <v>14</v>
      </c>
      <c r="B32" s="85" t="str">
        <f t="shared" si="1"/>
        <v>Sonntag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3"/>
        <v>0</v>
      </c>
      <c r="I32" s="89" t="str">
        <f>IF(AND(F32&gt;H32,OR(AND(OR($B32&lt;&gt;Ref!$A$7,$H$56&gt;0),OR($B32&lt;&gt;Ref!$A$8,$H$57&gt;0)),COUNT(SEARCH(Sonderarbeit,$N32))&gt;=1),ISNONTEXT(C32),C32&lt;&gt;""),F32-H32,"")</f>
        <v/>
      </c>
      <c r="J32" s="90" t="str">
        <f>IF(OR(AND(F32&lt;H32,OR(AND(OR($B32&lt;&gt;Ref!$A$7,$H$56&gt;0),OR($B32&lt;&gt;Ref!$A$8,$H$57&gt;0)),COUNT(SEARCH(Sonderarbeit,$N32))&gt;=1)),C32="Ausgleich"),H32-F32,"")</f>
        <v/>
      </c>
      <c r="K32" s="91" t="str">
        <f>IF(AND(B32=Ref!$A$8,SUM(I26:I32)&lt;SUM(J26:J32)),"-","")</f>
        <v/>
      </c>
      <c r="L32" s="92">
        <f>IF(B32=Ref!$A$8,ABS(SUM(I26:I32)-SUM(J26:J32)),"")</f>
        <v>2.083333333333337E-2</v>
      </c>
      <c r="N32" s="181"/>
    </row>
    <row r="33" spans="1:14" ht="17.399999999999999" customHeight="1" x14ac:dyDescent="0.55000000000000004">
      <c r="A33" s="86">
        <v>15</v>
      </c>
      <c r="B33" s="85" t="str">
        <f t="shared" si="1"/>
        <v>Montag</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3"/>
        <v>0.33333333333333331</v>
      </c>
      <c r="I33" s="89" t="str">
        <f>IF(AND(F33&gt;H33,OR(AND(OR($B33&lt;&gt;Ref!$A$7,$H$56&gt;0),OR($B33&lt;&gt;Ref!$A$8,$H$57&gt;0)),COUNT(SEARCH(Sonderarbeit,$N33))&gt;=1),ISNONTEXT(C33),C33&lt;&gt;""),F33-H33,"")</f>
        <v/>
      </c>
      <c r="J33" s="90" t="str">
        <f>IF(OR(AND(F33&lt;H33,OR(AND(OR($B33&lt;&gt;Ref!$A$7,$H$56&gt;0),OR($B33&lt;&gt;Ref!$A$8,$H$57&gt;0)),COUNT(SEARCH(Sonderarbeit,$N33))&gt;=1)),C33="Ausgleich"),H33-F33,"")</f>
        <v/>
      </c>
      <c r="K33" s="91" t="str">
        <f>IF(AND(B33=Ref!$A$8,SUM(I27:I33)&lt;SUM(J27:J33)),"-","")</f>
        <v/>
      </c>
      <c r="L33" s="92" t="str">
        <f>IF(B33=Ref!$A$8,ABS(SUM(I27:I33)-SUM(J27:J33)),"")</f>
        <v/>
      </c>
      <c r="N33" s="181"/>
    </row>
    <row r="34" spans="1:14" ht="17.399999999999999" customHeight="1" x14ac:dyDescent="0.55000000000000004">
      <c r="A34" s="86">
        <v>16</v>
      </c>
      <c r="B34" s="85" t="str">
        <f t="shared" si="1"/>
        <v>Dienstag</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3"/>
        <v>0.33333333333333331</v>
      </c>
      <c r="I34" s="89" t="str">
        <f>IF(AND(F34&gt;H34,OR(AND(OR($B34&lt;&gt;Ref!$A$7,$H$56&gt;0),OR($B34&lt;&gt;Ref!$A$8,$H$57&gt;0)),COUNT(SEARCH(Sonderarbeit,$N34))&gt;=1),ISNONTEXT(C34),C34&lt;&gt;""),F34-H34,"")</f>
        <v/>
      </c>
      <c r="J34" s="90" t="str">
        <f>IF(OR(AND(F34&lt;H34,OR(AND(OR($B34&lt;&gt;Ref!$A$7,$H$56&gt;0),OR($B34&lt;&gt;Ref!$A$8,$H$57&gt;0)),COUNT(SEARCH(Sonderarbeit,$N34))&gt;=1)),C34="Ausgleich"),H34-F34,"")</f>
        <v/>
      </c>
      <c r="K34" s="91" t="str">
        <f>IF(AND(B34=Ref!$A$8,SUM(I28:I34)&lt;SUM(J28:J34)),"-","")</f>
        <v/>
      </c>
      <c r="L34" s="92" t="str">
        <f>IF(B34=Ref!$A$8,ABS(SUM(I28:I34)-SUM(J28:J34)),"")</f>
        <v/>
      </c>
      <c r="N34" s="181"/>
    </row>
    <row r="35" spans="1:14" ht="17.399999999999999" customHeight="1" x14ac:dyDescent="0.55000000000000004">
      <c r="A35" s="86">
        <v>17</v>
      </c>
      <c r="B35" s="85" t="str">
        <f t="shared" si="1"/>
        <v>Mittwoch</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3"/>
        <v>0.33333333333333331</v>
      </c>
      <c r="I35" s="89" t="str">
        <f>IF(AND(F35&gt;H35,OR(AND(OR($B35&lt;&gt;Ref!$A$7,$H$56&gt;0),OR($B35&lt;&gt;Ref!$A$8,$H$57&gt;0)),COUNT(SEARCH(Sonderarbeit,$N35))&gt;=1),ISNONTEXT(C35),C35&lt;&gt;""),F35-H35,"")</f>
        <v/>
      </c>
      <c r="J35" s="90" t="str">
        <f>IF(OR(AND(F35&lt;H35,OR(AND(OR($B35&lt;&gt;Ref!$A$7,$H$56&gt;0),OR($B35&lt;&gt;Ref!$A$8,$H$57&gt;0)),COUNT(SEARCH(Sonderarbeit,$N35))&gt;=1)),C35="Ausgleich"),H35-F35,"")</f>
        <v/>
      </c>
      <c r="K35" s="91" t="str">
        <f>IF(AND(B35=Ref!$A$8,SUM(I29:I35)&lt;SUM(J29:J35)),"-","")</f>
        <v/>
      </c>
      <c r="L35" s="92" t="str">
        <f>IF(B35=Ref!$A$8,ABS(SUM(I29:I35)-SUM(J29:J35)),"")</f>
        <v/>
      </c>
      <c r="N35" s="181"/>
    </row>
    <row r="36" spans="1:14" ht="17.399999999999999" customHeight="1" x14ac:dyDescent="0.55000000000000004">
      <c r="A36" s="86">
        <v>18</v>
      </c>
      <c r="B36" s="85" t="str">
        <f t="shared" si="1"/>
        <v>Donnerstag</v>
      </c>
      <c r="C36" s="87">
        <v>0.35416666666666669</v>
      </c>
      <c r="D36" s="213">
        <f t="array" ref="D36">IF(AND(COUNT(SEARCH(Sonderarbeit,$N36,1))&gt;=1,$B36=Ref!$A$7),Ref!$K$1,Ref!$K$2)</f>
        <v>0.70833333333333337</v>
      </c>
      <c r="E36" s="213">
        <f t="array" ref="E36">IF(AND(COUNT(SEARCH(Sonderarbeit,$N36))&gt;=1,$B36=Ref!$A$7),,Ref!$K$3)</f>
        <v>2.0833333333333332E-2</v>
      </c>
      <c r="F36" s="270">
        <f t="shared" si="2"/>
        <v>0.33333333333333337</v>
      </c>
      <c r="G36" s="271"/>
      <c r="H36" s="88">
        <f t="shared" si="3"/>
        <v>0.33333333333333331</v>
      </c>
      <c r="I36" s="89" t="str">
        <f>IF(AND(F36&gt;H36,OR(AND(OR($B36&lt;&gt;Ref!$A$7,$H$56&gt;0),OR($B36&lt;&gt;Ref!$A$8,$H$57&gt;0)),COUNT(SEARCH(Sonderarbeit,$N36))&gt;=1),ISNONTEXT(C36),C36&lt;&gt;""),F36-H36,"")</f>
        <v/>
      </c>
      <c r="J36" s="90" t="str">
        <f>IF(OR(AND(F36&lt;H36,OR(AND(OR($B36&lt;&gt;Ref!$A$7,$H$56&gt;0),OR($B36&lt;&gt;Ref!$A$8,$H$57&gt;0)),COUNT(SEARCH(Sonderarbeit,$N36))&gt;=1)),C36="Ausgleich"),H36-F36,"")</f>
        <v/>
      </c>
      <c r="K36" s="91" t="str">
        <f>IF(AND(B36=Ref!$A$8,SUM(I30:I36)&lt;SUM(J30:J36)),"-","")</f>
        <v/>
      </c>
      <c r="L36" s="92" t="str">
        <f>IF(B36=Ref!$A$8,ABS(SUM(I30:I36)-SUM(J30:J36)),"")</f>
        <v/>
      </c>
      <c r="N36" s="181"/>
    </row>
    <row r="37" spans="1:14" ht="17.399999999999999" customHeight="1" x14ac:dyDescent="0.55000000000000004">
      <c r="A37" s="86">
        <v>19</v>
      </c>
      <c r="B37" s="85" t="str">
        <f t="shared" si="1"/>
        <v>Freitag</v>
      </c>
      <c r="C37" s="87">
        <v>0.35416666666666669</v>
      </c>
      <c r="D37" s="213">
        <f t="array" ref="D37">IF(AND(COUNT(SEARCH(Sonderarbeit,$N37,1))&gt;=1,$B37=Ref!$A$7),Ref!$K$1,Ref!$K$2)</f>
        <v>0.70833333333333337</v>
      </c>
      <c r="E37" s="213">
        <f t="array" ref="E37">IF(AND(COUNT(SEARCH(Sonderarbeit,$N37))&gt;=1,$B37=Ref!$A$7),,Ref!$K$3)</f>
        <v>2.0833333333333332E-2</v>
      </c>
      <c r="F37" s="270">
        <f t="shared" si="2"/>
        <v>0.33333333333333337</v>
      </c>
      <c r="G37" s="271"/>
      <c r="H37" s="88">
        <f t="shared" si="3"/>
        <v>0.3125</v>
      </c>
      <c r="I37" s="89">
        <f>IF(AND(F37&gt;H37,OR(AND(OR($B37&lt;&gt;Ref!$A$7,$H$56&gt;0),OR($B37&lt;&gt;Ref!$A$8,$H$57&gt;0)),COUNT(SEARCH(Sonderarbeit,$N37))&gt;=1),ISNONTEXT(C37),C37&lt;&gt;""),F37-H37,"")</f>
        <v>2.083333333333337E-2</v>
      </c>
      <c r="J37" s="90" t="str">
        <f>IF(OR(AND(F37&lt;H37,OR(AND(OR($B37&lt;&gt;Ref!$A$7,$H$56&gt;0),OR($B37&lt;&gt;Ref!$A$8,$H$57&gt;0)),COUNT(SEARCH(Sonderarbeit,$N37))&gt;=1)),C37="Ausgleich"),H37-F37,"")</f>
        <v/>
      </c>
      <c r="K37" s="91" t="str">
        <f>IF(AND(B37=Ref!$A$8,SUM(I31:I37)&lt;SUM(J31:J37)),"-","")</f>
        <v/>
      </c>
      <c r="L37" s="92" t="str">
        <f>IF(B37=Ref!$A$8,ABS(SUM(I31:I37)-SUM(J31:J37)),"")</f>
        <v/>
      </c>
      <c r="N37" s="181"/>
    </row>
    <row r="38" spans="1:14" ht="17.399999999999999" customHeight="1" x14ac:dyDescent="0.55000000000000004">
      <c r="A38" s="86">
        <v>20</v>
      </c>
      <c r="B38" s="85" t="str">
        <f t="shared" si="1"/>
        <v>Samstag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v>
      </c>
      <c r="I38" s="89" t="str">
        <f>IF(AND(F38&gt;H38,OR(AND(OR($B38&lt;&gt;Ref!$A$7,$H$56&gt;0),OR($B38&lt;&gt;Ref!$A$8,$H$57&gt;0)),COUNT(SEARCH(Sonderarbeit,$N38))&gt;=1),ISNONTEXT(C38),C38&lt;&gt;""),F38-H38,"")</f>
        <v/>
      </c>
      <c r="J38" s="90" t="str">
        <f>IF(OR(AND(F38&lt;H38,OR(AND(OR($B38&lt;&gt;Ref!$A$7,$H$56&gt;0),OR($B38&lt;&gt;Ref!$A$8,$H$57&gt;0)),COUNT(SEARCH(Sonderarbeit,$N38))&gt;=1)),C38="Ausgleich"),H38-F38,"")</f>
        <v/>
      </c>
      <c r="K38" s="91" t="str">
        <f>IF(AND(B38=Ref!$A$8,SUM(I32:I38)&lt;SUM(J32:J38)),"-","")</f>
        <v/>
      </c>
      <c r="L38" s="92" t="str">
        <f>IF(B38=Ref!$A$8,ABS(SUM(I32:I38)-SUM(J32:J38)),"")</f>
        <v/>
      </c>
      <c r="N38" s="181"/>
    </row>
    <row r="39" spans="1:14" ht="17.399999999999999" customHeight="1" x14ac:dyDescent="0.55000000000000004">
      <c r="A39" s="86">
        <v>21</v>
      </c>
      <c r="B39" s="85" t="str">
        <f t="shared" si="1"/>
        <v>Sonntag</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3"/>
        <v>0</v>
      </c>
      <c r="I39" s="89" t="str">
        <f>IF(AND(F39&gt;H39,OR(AND(OR($B39&lt;&gt;Ref!$A$7,$H$56&gt;0),OR($B39&lt;&gt;Ref!$A$8,$H$57&gt;0)),COUNT(SEARCH(Sonderarbeit,$N39))&gt;=1),ISNONTEXT(C39),C39&lt;&gt;""),F39-H39,"")</f>
        <v/>
      </c>
      <c r="J39" s="90" t="str">
        <f>IF(OR(AND(F39&lt;H39,OR(AND(OR($B39&lt;&gt;Ref!$A$7,$H$56&gt;0),OR($B39&lt;&gt;Ref!$A$8,$H$57&gt;0)),COUNT(SEARCH(Sonderarbeit,$N39))&gt;=1)),C39="Ausgleich"),H39-F39,"")</f>
        <v/>
      </c>
      <c r="K39" s="91" t="str">
        <f>IF(AND(B39=Ref!$A$8,SUM(I33:I39)&lt;SUM(J33:J39)),"-","")</f>
        <v/>
      </c>
      <c r="L39" s="92">
        <f>IF(B39=Ref!$A$8,ABS(SUM(I33:I39)-SUM(J33:J39)),"")</f>
        <v>2.083333333333337E-2</v>
      </c>
      <c r="N39" s="181" t="s">
        <v>82</v>
      </c>
    </row>
    <row r="40" spans="1:14" ht="17.399999999999999" customHeight="1" x14ac:dyDescent="0.55000000000000004">
      <c r="A40" s="86">
        <v>22</v>
      </c>
      <c r="B40" s="85" t="str">
        <f t="shared" si="1"/>
        <v>Montag</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0.33333333333333331</v>
      </c>
      <c r="I40" s="89" t="str">
        <f>IF(AND(F40&gt;H40,OR(AND(OR($B40&lt;&gt;Ref!$A$7,$H$56&gt;0),OR($B40&lt;&gt;Ref!$A$8,$H$57&gt;0)),COUNT(SEARCH(Sonderarbeit,$N40))&gt;=1),ISNONTEXT(C40),C40&lt;&gt;""),F40-H40,"")</f>
        <v/>
      </c>
      <c r="J40" s="90" t="str">
        <f>IF(OR(AND(F40&lt;H40,OR(AND(OR($B40&lt;&gt;Ref!$A$7,$H$56&gt;0),OR($B40&lt;&gt;Ref!$A$8,$H$57&gt;0)),COUNT(SEARCH(Sonderarbeit,$N40))&gt;=1)),C40="Ausgleich"),H40-F40,"")</f>
        <v/>
      </c>
      <c r="K40" s="91" t="str">
        <f>IF(AND(B40=Ref!$A$8,SUM(I34:I40)&lt;SUM(J34:J40)),"-","")</f>
        <v/>
      </c>
      <c r="L40" s="92" t="str">
        <f>IF(B40=Ref!$A$8,ABS(SUM(I34:I40)-SUM(J34:J40)),"")</f>
        <v/>
      </c>
      <c r="N40" s="181" t="s">
        <v>137</v>
      </c>
    </row>
    <row r="41" spans="1:14" ht="17.399999999999999" customHeight="1" x14ac:dyDescent="0.55000000000000004">
      <c r="A41" s="86">
        <v>23</v>
      </c>
      <c r="B41" s="85" t="str">
        <f t="shared" si="1"/>
        <v>Dienstag</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0.33333333333333331</v>
      </c>
      <c r="I41" s="89" t="str">
        <f>IF(AND(F41&gt;H41,OR(AND(OR($B41&lt;&gt;Ref!$A$7,$H$56&gt;0),OR($B41&lt;&gt;Ref!$A$8,$H$57&gt;0)),COUNT(SEARCH(Sonderarbeit,$N41))&gt;=1),ISNONTEXT(C41),C41&lt;&gt;""),F41-H41,"")</f>
        <v/>
      </c>
      <c r="J41" s="90" t="str">
        <f>IF(OR(AND(F41&lt;H41,OR(AND(OR($B41&lt;&gt;Ref!$A$7,$H$56&gt;0),OR($B41&lt;&gt;Ref!$A$8,$H$57&gt;0)),COUNT(SEARCH(Sonderarbeit,$N41))&gt;=1)),C41="Ausgleich"),H41-F41,"")</f>
        <v/>
      </c>
      <c r="K41" s="91" t="str">
        <f>IF(AND(B41=Ref!$A$8,SUM(I35:I41)&lt;SUM(J35:J41)),"-","")</f>
        <v/>
      </c>
      <c r="L41" s="92" t="str">
        <f>IF(B41=Ref!$A$8,ABS(SUM(I35:I41)-SUM(J35:J41)),"")</f>
        <v/>
      </c>
    </row>
    <row r="42" spans="1:14" ht="17.399999999999999" customHeight="1" x14ac:dyDescent="0.55000000000000004">
      <c r="A42" s="86">
        <v>24</v>
      </c>
      <c r="B42" s="85" t="str">
        <f t="shared" si="1"/>
        <v>Mittwoch</v>
      </c>
      <c r="C42" s="87" t="s">
        <v>101</v>
      </c>
      <c r="D42" s="213">
        <f t="array" ref="D42">IF(AND(COUNT(SEARCH(Sonderarbeit,$N42,1))&gt;=1,$B42=Ref!$A$7),Ref!$K$1,Ref!$K$2)</f>
        <v>0.70833333333333337</v>
      </c>
      <c r="E42" s="213">
        <f t="array" ref="E42">IF(AND(COUNT(SEARCH(Sonderarbeit,$N42))&gt;=1,$B42=Ref!$A$7),,Ref!$K$3)</f>
        <v>2.0833333333333332E-2</v>
      </c>
      <c r="F42" s="270">
        <f t="shared" si="2"/>
        <v>0</v>
      </c>
      <c r="G42" s="271"/>
      <c r="H42" s="88">
        <f t="shared" si="3"/>
        <v>0</v>
      </c>
      <c r="I42" s="89" t="str">
        <f>IF(AND(F42&gt;H42,OR(AND(OR($B42&lt;&gt;Ref!$A$7,$H$56&gt;0),OR($B42&lt;&gt;Ref!$A$8,$H$57&gt;0)),COUNT(SEARCH(Sonderarbeit,$N42))&gt;=1),ISNONTEXT(C42),C42&lt;&gt;""),F42-H42,"")</f>
        <v/>
      </c>
      <c r="J42" s="90" t="str">
        <f>IF(OR(AND(F42&lt;H42,OR(AND(OR($B42&lt;&gt;Ref!$A$7,$H$56&gt;0),OR($B42&lt;&gt;Ref!$A$8,$H$57&gt;0)),COUNT(SEARCH(Sonderarbeit,$N42))&gt;=1)),C42="Ausgleich"),H42-F42,"")</f>
        <v/>
      </c>
      <c r="K42" s="91" t="str">
        <f>IF(AND(B42=Ref!$A$8,SUM(I36:I42)&lt;SUM(J36:J42)),"-","")</f>
        <v/>
      </c>
      <c r="L42" s="92" t="str">
        <f>IF(B42=Ref!$A$8,ABS(SUM(I36:I42)-SUM(J36:J42)),"")</f>
        <v/>
      </c>
      <c r="N42" s="181" t="s">
        <v>73</v>
      </c>
    </row>
    <row r="43" spans="1:14" ht="17.399999999999999" customHeight="1" x14ac:dyDescent="0.55000000000000004">
      <c r="A43" s="86">
        <v>25</v>
      </c>
      <c r="B43" s="85" t="str">
        <f t="shared" si="1"/>
        <v>Donnerstag</v>
      </c>
      <c r="C43" s="87" t="s">
        <v>100</v>
      </c>
      <c r="D43" s="213">
        <f t="array" ref="D43">IF(AND(COUNT(SEARCH(Sonderarbeit,$N43,1))&gt;=1,$B43=Ref!$A$7),Ref!$K$1,Ref!$K$2)</f>
        <v>0.70833333333333337</v>
      </c>
      <c r="E43" s="213">
        <f t="array" ref="E43">IF(AND(COUNT(SEARCH(Sonderarbeit,$N43))&gt;=1,$B43=Ref!$A$7),,Ref!$K$3)</f>
        <v>2.0833333333333332E-2</v>
      </c>
      <c r="F43" s="270">
        <f t="shared" si="2"/>
        <v>0</v>
      </c>
      <c r="G43" s="271"/>
      <c r="H43" s="88">
        <f t="shared" si="3"/>
        <v>0</v>
      </c>
      <c r="I43" s="89" t="str">
        <f>IF(AND(F43&gt;H43,OR(AND(OR($B43&lt;&gt;Ref!$A$7,$H$56&gt;0),OR($B43&lt;&gt;Ref!$A$8,$H$57&gt;0)),COUNT(SEARCH(Sonderarbeit,$N43))&gt;=1),ISNONTEXT(C43),C43&lt;&gt;""),F43-H43,"")</f>
        <v/>
      </c>
      <c r="J43" s="90" t="str">
        <f>IF(OR(AND(F43&lt;H43,OR(AND(OR($B43&lt;&gt;Ref!$A$7,$H$56&gt;0),OR($B43&lt;&gt;Ref!$A$8,$H$57&gt;0)),COUNT(SEARCH(Sonderarbeit,$N43))&gt;=1)),C43="Ausgleich"),H43-F43,"")</f>
        <v/>
      </c>
      <c r="K43" s="91" t="str">
        <f>IF(AND(B43=Ref!$A$8,SUM(I37:I43)&lt;SUM(J37:J43)),"-","")</f>
        <v/>
      </c>
      <c r="L43" s="92" t="str">
        <f>IF(B43=Ref!$A$8,ABS(SUM(I37:I43)-SUM(J37:J43)),"")</f>
        <v/>
      </c>
      <c r="M43" s="182"/>
      <c r="N43" s="181"/>
    </row>
    <row r="44" spans="1:14" ht="17.399999999999999" customHeight="1" x14ac:dyDescent="0.55000000000000004">
      <c r="A44" s="86">
        <v>26</v>
      </c>
      <c r="B44" s="85" t="str">
        <f t="shared" si="1"/>
        <v>Freitag</v>
      </c>
      <c r="C44" s="87" t="s">
        <v>100</v>
      </c>
      <c r="D44" s="213">
        <f t="array" ref="D44">IF(AND(COUNT(SEARCH(Sonderarbeit,$N44,1))&gt;=1,$B44=Ref!$A$7),Ref!$K$1,Ref!$K$2)</f>
        <v>0.70833333333333337</v>
      </c>
      <c r="E44" s="213">
        <f t="array" ref="E44">IF(AND(COUNT(SEARCH(Sonderarbeit,$N44))&gt;=1,$B44=Ref!$A$7),,Ref!$K$3)</f>
        <v>2.0833333333333332E-2</v>
      </c>
      <c r="F44" s="270">
        <f t="shared" si="2"/>
        <v>0</v>
      </c>
      <c r="G44" s="271"/>
      <c r="H44" s="88">
        <f t="shared" si="3"/>
        <v>0</v>
      </c>
      <c r="I44" s="89" t="str">
        <f>IF(AND(F44&gt;H44,OR(AND(OR($B44&lt;&gt;Ref!$A$7,$H$56&gt;0),OR($B44&lt;&gt;Ref!$A$8,$H$57&gt;0)),COUNT(SEARCH(Sonderarbeit,$N44))&gt;=1),ISNONTEXT(C44),C44&lt;&gt;""),F44-H44,"")</f>
        <v/>
      </c>
      <c r="J44" s="90" t="str">
        <f>IF(OR(AND(F44&lt;H44,OR(AND(OR($B44&lt;&gt;Ref!$A$7,$H$56&gt;0),OR($B44&lt;&gt;Ref!$A$8,$H$57&gt;0)),COUNT(SEARCH(Sonderarbeit,$N44))&gt;=1)),C44="Ausgleich"),H44-F44,"")</f>
        <v/>
      </c>
      <c r="K44" s="91" t="str">
        <f>IF(AND(B44=Ref!$A$8,SUM(I38:I44)&lt;SUM(J38:J44)),"-","")</f>
        <v/>
      </c>
      <c r="L44" s="92" t="str">
        <f>IF(B44=Ref!$A$8,ABS(SUM(I38:I44)-SUM(J38:J44)),"")</f>
        <v/>
      </c>
      <c r="N44" s="181"/>
    </row>
    <row r="45" spans="1:14" ht="17.399999999999999" customHeight="1" x14ac:dyDescent="0.55000000000000004">
      <c r="A45" s="86">
        <v>27</v>
      </c>
      <c r="B45" s="85" t="str">
        <f t="shared" si="1"/>
        <v>Samstag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v>
      </c>
      <c r="I45" s="89" t="str">
        <f>IF(AND(F45&gt;H45,OR(AND(OR($B45&lt;&gt;Ref!$A$7,$H$56&gt;0),OR($B45&lt;&gt;Ref!$A$8,$H$57&gt;0)),COUNT(SEARCH(Sonderarbeit,$N45))&gt;=1),ISNONTEXT(C45),C45&lt;&gt;""),F45-H45,"")</f>
        <v/>
      </c>
      <c r="J45" s="90" t="str">
        <f>IF(OR(AND(F45&lt;H45,OR(AND(OR($B45&lt;&gt;Ref!$A$7,$H$56&gt;0),OR($B45&lt;&gt;Ref!$A$8,$H$57&gt;0)),COUNT(SEARCH(Sonderarbeit,$N45))&gt;=1)),C45="Ausgleich"),H45-F45,"")</f>
        <v/>
      </c>
      <c r="K45" s="91" t="str">
        <f>IF(AND(B45=Ref!$A$8,SUM(I39:I45)&lt;SUM(J39:J45)),"-","")</f>
        <v/>
      </c>
      <c r="L45" s="92" t="str">
        <f>IF(B45=Ref!$A$8,ABS(SUM(I39:I45)-SUM(J39:J45)),"")</f>
        <v/>
      </c>
      <c r="M45" s="182"/>
      <c r="N45" s="181"/>
    </row>
    <row r="46" spans="1:14" ht="17.399999999999999" customHeight="1" x14ac:dyDescent="0.55000000000000004">
      <c r="A46" s="86">
        <v>28</v>
      </c>
      <c r="B46" s="85" t="str">
        <f t="shared" si="1"/>
        <v>Sonntag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v>
      </c>
      <c r="I46" s="89" t="str">
        <f>IF(AND(F46&gt;H46,OR(AND(OR($B46&lt;&gt;Ref!$A$7,$H$56&gt;0),OR($B46&lt;&gt;Ref!$A$8,$H$57&gt;0)),COUNT(SEARCH(Sonderarbeit,$N46))&gt;=1),ISNONTEXT(C46),C46&lt;&gt;""),F46-H46,"")</f>
        <v/>
      </c>
      <c r="J46" s="90" t="str">
        <f>IF(OR(AND(F46&lt;H46,OR(AND(OR($B46&lt;&gt;Ref!$A$7,$H$56&gt;0),OR($B46&lt;&gt;Ref!$A$8,$H$57&gt;0)),COUNT(SEARCH(Sonderarbeit,$N46))&gt;=1)),C46="Ausgleich"),H46-F46,"")</f>
        <v/>
      </c>
      <c r="K46" s="91" t="str">
        <f>IF(AND(B46=Ref!$A$8,SUM(I40:I46)&lt;SUM(J40:J46)),"-","")</f>
        <v/>
      </c>
      <c r="L46" s="92">
        <f>IF(B46=Ref!$A$8,ABS(SUM(I40:I46)-SUM(J40:J46)),"")</f>
        <v>0</v>
      </c>
      <c r="M46" s="182"/>
      <c r="N46" s="181"/>
    </row>
    <row r="47" spans="1:14" ht="17.399999999999999" customHeight="1" x14ac:dyDescent="0.55000000000000004">
      <c r="A47" s="86">
        <v>29</v>
      </c>
      <c r="B47" s="85" t="str">
        <f t="shared" si="1"/>
        <v>Montag</v>
      </c>
      <c r="C47" s="87">
        <v>0.35416666666666669</v>
      </c>
      <c r="D47" s="213">
        <f t="array" ref="D47">IF(AND(COUNT(SEARCH(Sonderarbeit,$N47,1))&gt;=1,$B47=Ref!$A$7),Ref!$K$1,Ref!$K$2)</f>
        <v>0.70833333333333337</v>
      </c>
      <c r="E47" s="213">
        <f t="array" ref="E47">IF(AND(COUNT(SEARCH(Sonderarbeit,$N47))&gt;=1,$B47=Ref!$A$7),,Ref!$K$3)</f>
        <v>2.0833333333333332E-2</v>
      </c>
      <c r="F47" s="270">
        <f t="shared" si="2"/>
        <v>0.33333333333333337</v>
      </c>
      <c r="G47" s="271"/>
      <c r="H47" s="88">
        <f t="shared" si="3"/>
        <v>0.33333333333333331</v>
      </c>
      <c r="I47" s="89" t="str">
        <f>IF(AND(F47&gt;H47,OR(AND(OR($B47&lt;&gt;Ref!$A$7,$H$56&gt;0),OR($B47&lt;&gt;Ref!$A$8,$H$57&gt;0)),COUNT(SEARCH(Sonderarbeit,$N47))&gt;=1),ISNONTEXT(C47),C47&lt;&gt;""),F47-H47,"")</f>
        <v/>
      </c>
      <c r="J47" s="90" t="str">
        <f>IF(OR(AND(F47&lt;H47,OR(AND(OR($B47&lt;&gt;Ref!$A$7,$H$56&gt;0),OR($B47&lt;&gt;Ref!$A$8,$H$57&gt;0)),COUNT(SEARCH(Sonderarbeit,$N47))&gt;=1)),C47="Ausgleich"),H47-F47,"")</f>
        <v/>
      </c>
      <c r="K47" s="91" t="str">
        <f>IF(AND(B47=Ref!$A$8,SUM(I41:I47)&lt;SUM(J41:J47)),"-","")</f>
        <v/>
      </c>
      <c r="L47" s="92" t="str">
        <f>IF(B47=Ref!$A$8,ABS(SUM(I41:I47)-SUM(J41:J47)),"")</f>
        <v/>
      </c>
      <c r="N47" s="181"/>
    </row>
    <row r="48" spans="1:14" ht="17.399999999999999" customHeight="1" x14ac:dyDescent="0.55000000000000004">
      <c r="A48" s="86">
        <v>30</v>
      </c>
      <c r="B48" s="85" t="str">
        <f t="shared" si="1"/>
        <v>Dienstag</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0.33333333333333331</v>
      </c>
      <c r="I48" s="89" t="str">
        <f>IF(AND(F48&gt;H48,OR(AND(OR($B48&lt;&gt;Ref!$A$7,$H$56&gt;0),OR($B48&lt;&gt;Ref!$A$8,$H$57&gt;0)),COUNT(SEARCH(Sonderarbeit,$N48))&gt;=1),ISNONTEXT(C48),C48&lt;&gt;""),F48-H48,"")</f>
        <v/>
      </c>
      <c r="J48" s="90" t="str">
        <f>IF(OR(AND(F48&lt;H48,OR(AND(OR($B48&lt;&gt;Ref!$A$7,$H$56&gt;0),OR($B48&lt;&gt;Ref!$A$8,$H$57&gt;0)),COUNT(SEARCH(Sonderarbeit,$N48))&gt;=1)),C48="Ausgleich"),H48-F48,"")</f>
        <v/>
      </c>
      <c r="K48" s="91" t="str">
        <f>IF(AND(B48=Ref!$A$8,SUM(I42:I48)&lt;SUM(J42:J48)),"-","")</f>
        <v/>
      </c>
      <c r="L48" s="92" t="str">
        <f>IF(B48=Ref!$A$8,ABS(SUM(I42:I48)-SUM(J42:J48)),"")</f>
        <v/>
      </c>
      <c r="N48" s="181"/>
    </row>
    <row r="49" spans="1:15" ht="17.399999999999999" customHeight="1" x14ac:dyDescent="0.55000000000000004">
      <c r="A49" s="86">
        <v>31</v>
      </c>
      <c r="B49" s="85" t="str">
        <f t="shared" si="1"/>
        <v>Mittwoch</v>
      </c>
      <c r="C49" s="87" t="s">
        <v>129</v>
      </c>
      <c r="D49" s="213">
        <f t="array" ref="D49">IF(AND(COUNT(SEARCH(Sonderarbeit,$N49,1))&gt;=1,$B49=Ref!$A$7),Ref!$K$1,Ref!$K$2)</f>
        <v>0.70833333333333337</v>
      </c>
      <c r="E49" s="213">
        <f t="array" ref="E49">IF(AND(COUNT(SEARCH(Sonderarbeit,$N49))&gt;=1,$B49=Ref!$A$7),,Ref!$K$3)</f>
        <v>2.0833333333333332E-2</v>
      </c>
      <c r="F49" s="270">
        <f t="shared" si="2"/>
        <v>0</v>
      </c>
      <c r="G49" s="271"/>
      <c r="H49" s="88">
        <f t="shared" si="3"/>
        <v>0</v>
      </c>
      <c r="I49" s="89" t="str">
        <f>IF(AND(F49&gt;H49,OR(AND(OR($B49&lt;&gt;Ref!$A$7,$H$56&gt;0),OR($B49&lt;&gt;Ref!$A$8,$H$57&gt;0)),COUNT(SEARCH(Sonderarbeit,$N49))&gt;=1),ISNONTEXT(C49),C49&lt;&gt;""),F49-H49,"")</f>
        <v/>
      </c>
      <c r="J49" s="90" t="str">
        <f>IF(OR(AND(F49&lt;H49,OR(AND(OR($B49&lt;&gt;Ref!$A$7,$H$56&gt;0),OR($B49&lt;&gt;Ref!$A$8,$H$57&gt;0)),COUNT(SEARCH(Sonderarbeit,$N49))&gt;=1)),C49="Ausgleich"),H49-F49,"")</f>
        <v/>
      </c>
      <c r="K49" s="97" t="str">
        <f ca="1">IF(SUM(INDIRECT("I"&amp;ROW()-WEEKDAY(DATE(J$11,MONTH(I$11),A49),3)):I49) &lt; SUM(INDIRECT("j"&amp;ROW()-WEEKDAY(DATE(J$11,MONTH(I$11),A49),3)):J49),"-","")</f>
        <v/>
      </c>
      <c r="L49" s="96">
        <f ca="1">ABS(SUM(INDIRECT("I"&amp;ROW()-WEEKDAY(DATE(J$11,MONTH(I$11),A49),3)):I49)-SUM(INDIRECT("j"&amp;ROW()-WEEKDAY(DATE(J$11,MONTH(I$11),A49))):J49))</f>
        <v>0</v>
      </c>
      <c r="N49" s="181" t="s">
        <v>73</v>
      </c>
    </row>
    <row r="50" spans="1:15" s="20" customFormat="1" ht="17.399999999999999" customHeight="1" thickBot="1" x14ac:dyDescent="0.35">
      <c r="A50" s="98" t="str">
        <f>Jan!A50</f>
        <v>Sonstige Zeiten laut beigefügter Aufstellung (s. Anlage):</v>
      </c>
      <c r="B50" s="172"/>
      <c r="C50" s="173"/>
      <c r="D50" s="101"/>
      <c r="E50" s="101"/>
      <c r="F50" s="101"/>
      <c r="G50" s="101"/>
      <c r="H50" s="165"/>
      <c r="I50" s="145">
        <v>0</v>
      </c>
      <c r="J50" s="146">
        <v>0</v>
      </c>
      <c r="K50" s="147"/>
      <c r="L50" s="148"/>
      <c r="M50" s="177"/>
      <c r="N50" s="181"/>
      <c r="O50" s="193"/>
    </row>
    <row r="51" spans="1:15" ht="13" x14ac:dyDescent="0.3">
      <c r="A51" s="257" t="s">
        <v>3</v>
      </c>
      <c r="B51" s="257"/>
      <c r="C51" s="257"/>
      <c r="D51" s="257"/>
      <c r="E51" s="105"/>
      <c r="F51" s="105"/>
      <c r="G51" s="105"/>
      <c r="H51" s="166">
        <f>Nov!H50</f>
        <v>0.33333333333333331</v>
      </c>
      <c r="I51" s="273">
        <f>SUM(I17:I50)</f>
        <v>1.0208333333333353</v>
      </c>
      <c r="J51" s="275">
        <f>SUM(J17:J50)</f>
        <v>0</v>
      </c>
      <c r="K51" s="252" t="str">
        <f ca="1">IF(SUMIF(K19:K49,"",L19:L49)&lt;SUMIF(K19:K49,"-",L19:L49),"-","")</f>
        <v/>
      </c>
      <c r="L51" s="254">
        <f ca="1">ABS(SUMIF(K19:K49,"",L19:L49)-SUMIF(K19:K49,"-",L19:L49))</f>
        <v>6.2500000000000111E-2</v>
      </c>
    </row>
    <row r="52" spans="1:15" ht="13.5" thickBot="1" x14ac:dyDescent="0.35">
      <c r="A52" s="258"/>
      <c r="B52" s="258"/>
      <c r="C52" s="258"/>
      <c r="D52" s="258"/>
      <c r="E52" s="105"/>
      <c r="F52" s="105"/>
      <c r="G52" s="106" t="s">
        <v>12</v>
      </c>
      <c r="H52" s="167">
        <f>Nov!H51</f>
        <v>0.33333333333333331</v>
      </c>
      <c r="I52" s="274"/>
      <c r="J52" s="276"/>
      <c r="K52" s="253"/>
      <c r="L52" s="255"/>
    </row>
    <row r="53" spans="1:15" ht="13" x14ac:dyDescent="0.3">
      <c r="A53" s="258"/>
      <c r="B53" s="258"/>
      <c r="C53" s="258"/>
      <c r="D53" s="258"/>
      <c r="E53" s="105"/>
      <c r="F53" s="105"/>
      <c r="G53" s="107"/>
      <c r="H53" s="167">
        <f>Nov!H52</f>
        <v>0.33333333333333331</v>
      </c>
      <c r="I53" s="268">
        <f>IF(I51&gt;J51,I51-J51, 0)</f>
        <v>1.0208333333333353</v>
      </c>
      <c r="J53" s="266" t="str">
        <f>IF(J51&gt;I51,J51-I51,"")</f>
        <v/>
      </c>
      <c r="K53" s="110"/>
      <c r="L53" s="110"/>
    </row>
    <row r="54" spans="1:15" ht="13.5" thickBot="1" x14ac:dyDescent="0.35">
      <c r="A54" s="265" t="s">
        <v>15</v>
      </c>
      <c r="B54" s="265"/>
      <c r="C54" s="265"/>
      <c r="D54" s="265"/>
      <c r="E54" s="109"/>
      <c r="F54" s="109"/>
      <c r="G54" s="106" t="s">
        <v>13</v>
      </c>
      <c r="H54" s="167">
        <f>Nov!H53</f>
        <v>0.33333333333333331</v>
      </c>
      <c r="I54" s="269"/>
      <c r="J54" s="267"/>
      <c r="K54" s="110"/>
      <c r="L54" s="110"/>
    </row>
    <row r="55" spans="1:15" ht="13.5" thickBot="1" x14ac:dyDescent="0.35">
      <c r="A55" s="257" t="s">
        <v>4</v>
      </c>
      <c r="B55" s="257"/>
      <c r="C55" s="257"/>
      <c r="D55" s="257"/>
      <c r="E55" s="109"/>
      <c r="F55" s="109"/>
      <c r="G55" s="109"/>
      <c r="H55" s="167">
        <f>Nov!H54</f>
        <v>0.3125</v>
      </c>
      <c r="I55" s="109"/>
      <c r="J55" s="109"/>
      <c r="K55" s="110"/>
      <c r="L55" s="110"/>
    </row>
    <row r="56" spans="1:15" ht="13.25" customHeight="1" x14ac:dyDescent="0.3">
      <c r="A56" s="258"/>
      <c r="B56" s="258"/>
      <c r="C56" s="258"/>
      <c r="D56" s="258"/>
      <c r="E56" s="149" t="str">
        <f>Jan!E56</f>
        <v xml:space="preserve"> </v>
      </c>
      <c r="F56" s="150"/>
      <c r="G56" s="151" t="str">
        <f>IF(E56=" ", " ", IF(Mantelbogen!D26=I11,Mantelbogen!C29,Nov!G57))</f>
        <v xml:space="preserve"> </v>
      </c>
      <c r="H56" s="168">
        <v>0</v>
      </c>
      <c r="I56" s="259" t="s">
        <v>123</v>
      </c>
      <c r="J56" s="260"/>
      <c r="K56" s="110"/>
      <c r="L56" s="110"/>
    </row>
    <row r="57" spans="1:15" ht="13.5" thickBot="1" x14ac:dyDescent="0.35">
      <c r="A57" s="258"/>
      <c r="B57" s="258"/>
      <c r="C57" s="258"/>
      <c r="D57" s="258"/>
      <c r="E57" s="149" t="str">
        <f>Jan!E57</f>
        <v xml:space="preserve"> </v>
      </c>
      <c r="F57" s="151"/>
      <c r="G57" s="151" t="str">
        <f>IF(E56=" ", " ", -COUNTIF(C19:C49, "Urlaub*" ))</f>
        <v xml:space="preserve"> </v>
      </c>
      <c r="H57" s="169">
        <v>0</v>
      </c>
      <c r="I57" s="261"/>
      <c r="J57" s="262"/>
      <c r="K57" s="110"/>
      <c r="L57" s="110"/>
    </row>
    <row r="58" spans="1:15" ht="24.5" customHeight="1" thickBot="1" x14ac:dyDescent="0.35">
      <c r="A58" s="265" t="s">
        <v>10</v>
      </c>
      <c r="B58" s="265"/>
      <c r="C58" s="265"/>
      <c r="D58" s="265"/>
      <c r="E58" s="152" t="str">
        <f>Jan!E58</f>
        <v xml:space="preserve"> </v>
      </c>
      <c r="F58" s="153"/>
      <c r="G58" s="154" t="str">
        <f>IF(E56=" ", " ", IF(Mantelbogen!C29 &gt; 0.0001, G56+G57, 0))</f>
        <v xml:space="preserve"> </v>
      </c>
      <c r="H58" s="195">
        <f>SUM(H51:H57)</f>
        <v>1.6458333333333333</v>
      </c>
      <c r="I58" s="263"/>
      <c r="J58" s="264"/>
      <c r="K58" s="105"/>
      <c r="L58" s="118" t="str">
        <f>Mantelbogen!D47</f>
        <v>10.01.2024  HAdW / G. Wolff</v>
      </c>
    </row>
    <row r="60" spans="1:15" x14ac:dyDescent="0.25">
      <c r="G60" s="256"/>
      <c r="H60" s="256"/>
      <c r="I60" s="256"/>
      <c r="J60" s="21"/>
    </row>
    <row r="61" spans="1:15" x14ac:dyDescent="0.25">
      <c r="G61" s="21"/>
      <c r="H61" s="21"/>
      <c r="I61" s="21"/>
      <c r="J61" s="21"/>
    </row>
    <row r="62" spans="1:15" x14ac:dyDescent="0.25">
      <c r="G62" s="21"/>
      <c r="H62" s="21"/>
    </row>
  </sheetData>
  <sheetProtection password="9BC9" sheet="1" objects="1" scenarios="1"/>
  <mergeCells count="63">
    <mergeCell ref="F24:G24"/>
    <mergeCell ref="F25:G25"/>
    <mergeCell ref="F20:G20"/>
    <mergeCell ref="F19:G19"/>
    <mergeCell ref="F22:G22"/>
    <mergeCell ref="F23:G23"/>
    <mergeCell ref="F21:G21"/>
    <mergeCell ref="F26:G26"/>
    <mergeCell ref="F29:G29"/>
    <mergeCell ref="F30:G30"/>
    <mergeCell ref="G60:I60"/>
    <mergeCell ref="F49:G49"/>
    <mergeCell ref="F32:G32"/>
    <mergeCell ref="F33:G33"/>
    <mergeCell ref="F34:G34"/>
    <mergeCell ref="F31:G31"/>
    <mergeCell ref="F27:G27"/>
    <mergeCell ref="F28:G28"/>
    <mergeCell ref="F42:G42"/>
    <mergeCell ref="F43:G43"/>
    <mergeCell ref="F36:G36"/>
    <mergeCell ref="F37:G37"/>
    <mergeCell ref="F38:G38"/>
    <mergeCell ref="G1:J7"/>
    <mergeCell ref="A4:E6"/>
    <mergeCell ref="I15:J15"/>
    <mergeCell ref="I17:I18"/>
    <mergeCell ref="J17:J18"/>
    <mergeCell ref="C15:C18"/>
    <mergeCell ref="D15:D18"/>
    <mergeCell ref="E15:E18"/>
    <mergeCell ref="F15:G18"/>
    <mergeCell ref="H15:H18"/>
    <mergeCell ref="A1:E2"/>
    <mergeCell ref="A3:E3"/>
    <mergeCell ref="A11:B11"/>
    <mergeCell ref="A13:B13"/>
    <mergeCell ref="A15:A18"/>
    <mergeCell ref="B15:B18"/>
    <mergeCell ref="F39:G39"/>
    <mergeCell ref="F35:G35"/>
    <mergeCell ref="A56:D57"/>
    <mergeCell ref="I56:J58"/>
    <mergeCell ref="A58:D58"/>
    <mergeCell ref="J53:J54"/>
    <mergeCell ref="I53:I54"/>
    <mergeCell ref="A55:D55"/>
    <mergeCell ref="K15:L16"/>
    <mergeCell ref="K17:L18"/>
    <mergeCell ref="K51:K52"/>
    <mergeCell ref="L51:L52"/>
    <mergeCell ref="A54:D54"/>
    <mergeCell ref="F44:G44"/>
    <mergeCell ref="F45:G45"/>
    <mergeCell ref="F46:G46"/>
    <mergeCell ref="F47:G47"/>
    <mergeCell ref="F48:G48"/>
    <mergeCell ref="A51:D51"/>
    <mergeCell ref="I51:I52"/>
    <mergeCell ref="J51:J52"/>
    <mergeCell ref="A52:D53"/>
    <mergeCell ref="F40:G40"/>
    <mergeCell ref="F41:G41"/>
  </mergeCells>
  <phoneticPr fontId="0" type="noConversion"/>
  <conditionalFormatting sqref="C19:C49">
    <cfRule type="expression" dxfId="65" priority="7">
      <formula>ISTEXT($C19)</formula>
    </cfRule>
  </conditionalFormatting>
  <conditionalFormatting sqref="F19:F49">
    <cfRule type="expression" dxfId="64" priority="11">
      <formula>AND(ISNONTEXT($C19),$F19 &gt; 0.666667)</formula>
    </cfRule>
  </conditionalFormatting>
  <conditionalFormatting sqref="A19:L49">
    <cfRule type="expression" dxfId="63" priority="5">
      <formula>AND(ISTEXT($C19),$C19&lt;&gt;"Kinderkrankentag",$C19&lt;&gt;"Urlaub",$C19&lt;&gt;"Krank",$C19&lt;&gt;"Ausgleich")</formula>
    </cfRule>
  </conditionalFormatting>
  <conditionalFormatting sqref="D19:H49">
    <cfRule type="expression" dxfId="62" priority="4">
      <formula>AND(ISTEXT($C19),OR($C19="Kinderkrankentag",$C19="Urlaub",$C19="Krank",$C19="Ausgleich"))</formula>
    </cfRule>
  </conditionalFormatting>
  <conditionalFormatting sqref="A19:A49 C19:L49">
    <cfRule type="expression" dxfId="61" priority="1">
      <formula>COUNT(SEARCH(Sonderarbeit,$N19))&gt;=1</formula>
    </cfRule>
  </conditionalFormatting>
  <conditionalFormatting sqref="D19:J49">
    <cfRule type="expression" dxfId="60" priority="3">
      <formula>AND(ISTEXT($C19),$C19&lt;&gt;"Kinderkrankentag",$C19&lt;&gt;"Urlaub",$C19&lt;&gt;"Krank",$C19&lt;&gt;"Ausgleich")</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E4D3575C-AAF7-453D-B68A-279FF5ACE1A5}">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1"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01E3769C-2F1F-4707-A0D6-EB286AFA85F9}">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 xmlns:xm="http://schemas.microsoft.com/office/excel/2006/main">
          <x14:cfRule type="expression" priority="6" id="{1D21A1F7-2C1B-40EC-B6FA-F6D01A2FF353}">
            <xm:f>OR(AND($B19=Ref!$A$7,$H$56=0), AND($B19=Ref!$A$8,$H$57=0), NOT( ISERROR(FIND("feiertag",LOWER($C19)) ) ) )</xm:f>
            <x14:dxf>
              <fill>
                <patternFill patternType="solid">
                  <bgColor rgb="FF99CCFF"/>
                </patternFill>
              </fill>
            </x14:dxf>
          </x14:cfRule>
          <xm:sqref>A19:L49</xm:sqref>
        </x14:conditionalFormatting>
        <x14:conditionalFormatting xmlns:xm="http://schemas.microsoft.com/office/excel/2006/main">
          <x14:cfRule type="expression" priority="8" id="{0155C9A7-7A88-437D-828D-CB647CB3890A}">
            <xm:f>OR(AND($B19=Ref!$A$7, $H$56&lt;0.00001),AND($B19=Ref!$A$8, $H$57&lt;0.00001))</xm:f>
            <x14:dxf>
              <font>
                <color rgb="FF99CCFF"/>
              </font>
              <fill>
                <patternFill>
                  <bgColor rgb="FF99CCFF"/>
                </patternFill>
              </fill>
            </x14:dxf>
          </x14:cfRule>
          <xm:sqref>C19:J49</xm:sqref>
        </x14:conditionalFormatting>
        <x14:conditionalFormatting xmlns:xm="http://schemas.microsoft.com/office/excel/2006/main">
          <x14:cfRule type="expression" priority="9" id="{2E80F18E-A6E4-4BD0-9143-2613290C686B}">
            <xm:f>AND($B19=Ref!$A$7, $H$56&gt;0.00001)</xm:f>
            <x14:dxf>
              <font>
                <b val="0"/>
                <i val="0"/>
                <color theme="1"/>
              </font>
            </x14:dxf>
          </x14:cfRule>
          <x14:cfRule type="expression" priority="10" id="{EBCC74FD-5244-427D-BCB9-45523C977E40}">
            <xm:f>AND($B19=Ref!$A$8, $H$57&gt;0.00001)</xm:f>
            <x14:dxf>
              <font>
                <b val="0"/>
                <i val="0"/>
              </font>
            </x14:dxf>
          </x14:cfRule>
          <xm:sqref>C19:I49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C2F22C86-D971-4B75-9C24-9FCF7EF1AA22}">
          <x14:formula1>
            <xm:f>NOT(OFFSET(C19,0,2-COLUMN(C19))=Ref!$A$7)</xm:f>
          </x14:formula1>
          <xm:sqref>C19:E49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B0A24-056A-402C-9646-E92B428ACF31}">
  <sheetPr codeName="Sheet1"/>
  <dimension ref="A1:K13"/>
  <sheetViews>
    <sheetView workbookViewId="0">
      <selection activeCell="K1" sqref="K1"/>
    </sheetView>
  </sheetViews>
  <sheetFormatPr defaultRowHeight="12.5" x14ac:dyDescent="0.25"/>
  <cols>
    <col min="1" max="1" width="11.36328125" bestFit="1" customWidth="1"/>
    <col min="4" max="5" width="10.36328125" customWidth="1"/>
    <col min="7" max="8" width="10.36328125" customWidth="1"/>
    <col min="10" max="10" width="16.1796875" bestFit="1" customWidth="1"/>
  </cols>
  <sheetData>
    <row r="1" spans="1:11" x14ac:dyDescent="0.25">
      <c r="A1" s="26" t="s">
        <v>84</v>
      </c>
      <c r="D1" t="s">
        <v>91</v>
      </c>
      <c r="E1" t="s">
        <v>92</v>
      </c>
      <c r="G1" s="27" t="s">
        <v>104</v>
      </c>
      <c r="H1" t="s">
        <v>103</v>
      </c>
      <c r="J1" s="26" t="s">
        <v>138</v>
      </c>
      <c r="K1" s="212">
        <v>0.35416666666666669</v>
      </c>
    </row>
    <row r="2" spans="1:11" x14ac:dyDescent="0.25">
      <c r="A2" t="str">
        <f t="shared" ref="A2:A8" si="0">TEXT(WEEKDAY(B2,2),Textcode)</f>
        <v>Montag</v>
      </c>
      <c r="B2">
        <v>3</v>
      </c>
      <c r="D2" t="s">
        <v>85</v>
      </c>
      <c r="E2" t="s">
        <v>86</v>
      </c>
      <c r="G2" s="27" t="s">
        <v>17</v>
      </c>
      <c r="H2" s="28">
        <v>1</v>
      </c>
      <c r="J2" s="26" t="s">
        <v>139</v>
      </c>
      <c r="K2" s="212">
        <v>0.70833333333333337</v>
      </c>
    </row>
    <row r="3" spans="1:11" x14ac:dyDescent="0.25">
      <c r="A3" t="str">
        <f t="shared" si="0"/>
        <v>Dienstag</v>
      </c>
      <c r="B3">
        <v>4</v>
      </c>
      <c r="D3" t="s">
        <v>87</v>
      </c>
      <c r="E3" t="s">
        <v>88</v>
      </c>
      <c r="G3" s="27" t="s">
        <v>102</v>
      </c>
      <c r="H3" s="28">
        <v>2</v>
      </c>
      <c r="J3" s="26" t="s">
        <v>140</v>
      </c>
      <c r="K3" s="212">
        <v>2.0833333333333332E-2</v>
      </c>
    </row>
    <row r="4" spans="1:11" x14ac:dyDescent="0.25">
      <c r="A4" t="str">
        <f t="shared" si="0"/>
        <v>Mittwoch</v>
      </c>
      <c r="B4">
        <v>5</v>
      </c>
      <c r="D4" t="s">
        <v>89</v>
      </c>
      <c r="E4" t="s">
        <v>90</v>
      </c>
      <c r="G4" s="27" t="s">
        <v>105</v>
      </c>
      <c r="H4" s="28">
        <v>3</v>
      </c>
      <c r="K4" s="26"/>
    </row>
    <row r="5" spans="1:11" x14ac:dyDescent="0.25">
      <c r="A5" t="str">
        <f t="shared" si="0"/>
        <v>Donnerstag</v>
      </c>
      <c r="B5">
        <v>6</v>
      </c>
      <c r="G5" s="27" t="s">
        <v>106</v>
      </c>
      <c r="H5" s="28">
        <v>4</v>
      </c>
      <c r="K5" s="26"/>
    </row>
    <row r="6" spans="1:11" x14ac:dyDescent="0.25">
      <c r="A6" t="str">
        <f t="shared" si="0"/>
        <v>Freitag</v>
      </c>
      <c r="B6">
        <v>7</v>
      </c>
      <c r="G6" s="27" t="s">
        <v>107</v>
      </c>
      <c r="H6" s="28">
        <v>5</v>
      </c>
    </row>
    <row r="7" spans="1:11" x14ac:dyDescent="0.25">
      <c r="A7" t="str">
        <f t="shared" si="0"/>
        <v>Samstag</v>
      </c>
      <c r="B7">
        <v>8</v>
      </c>
      <c r="G7" s="27" t="s">
        <v>108</v>
      </c>
      <c r="H7" s="28">
        <v>6</v>
      </c>
    </row>
    <row r="8" spans="1:11" x14ac:dyDescent="0.25">
      <c r="A8" t="str">
        <f t="shared" si="0"/>
        <v>Sonntag</v>
      </c>
      <c r="B8">
        <v>9</v>
      </c>
      <c r="G8" s="27" t="s">
        <v>109</v>
      </c>
      <c r="H8" s="28">
        <v>7</v>
      </c>
    </row>
    <row r="9" spans="1:11" x14ac:dyDescent="0.25">
      <c r="G9" s="27" t="s">
        <v>110</v>
      </c>
      <c r="H9" s="28">
        <v>8</v>
      </c>
    </row>
    <row r="10" spans="1:11" x14ac:dyDescent="0.25">
      <c r="G10" s="27" t="s">
        <v>111</v>
      </c>
      <c r="H10" s="28">
        <v>9</v>
      </c>
    </row>
    <row r="11" spans="1:11" x14ac:dyDescent="0.25">
      <c r="G11" s="27" t="s">
        <v>112</v>
      </c>
      <c r="H11" s="28">
        <v>10</v>
      </c>
    </row>
    <row r="12" spans="1:11" x14ac:dyDescent="0.25">
      <c r="G12" s="27" t="s">
        <v>113</v>
      </c>
      <c r="H12" s="28">
        <v>11</v>
      </c>
    </row>
    <row r="13" spans="1:11" x14ac:dyDescent="0.25">
      <c r="D13" s="26" t="s">
        <v>93</v>
      </c>
      <c r="E13" t="str">
        <f>INDEX(Table1[Code],MATCH(Mantelbogen!C4,Table1[Sprache],0))</f>
        <v>TTTT</v>
      </c>
      <c r="G13" s="27" t="s">
        <v>114</v>
      </c>
      <c r="H13" s="28">
        <v>12</v>
      </c>
    </row>
  </sheetData>
  <sheetProtection password="9BC9" sheet="1" objects="1" scenarios="1"/>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N62"/>
  <sheetViews>
    <sheetView zoomScaleNormal="100" workbookViewId="0">
      <selection activeCell="A4" sqref="A4:E6"/>
    </sheetView>
  </sheetViews>
  <sheetFormatPr defaultColWidth="11.54296875" defaultRowHeight="13" x14ac:dyDescent="0.3"/>
  <cols>
    <col min="1" max="1" width="5.54296875" style="4" customWidth="1"/>
    <col min="2" max="2" width="9.08984375" style="5" customWidth="1"/>
    <col min="3" max="3" width="13.1796875" style="5" bestFit="1" customWidth="1"/>
    <col min="4" max="4" width="9.08984375" style="5" customWidth="1"/>
    <col min="5" max="5" width="8.54296875" style="2" customWidth="1"/>
    <col min="6" max="6" width="7.81640625" style="2" customWidth="1"/>
    <col min="7" max="7" width="3.54296875" style="2" customWidth="1"/>
    <col min="8" max="8" width="8.453125" style="2" customWidth="1"/>
    <col min="9" max="9" width="8.7265625" style="2" bestFit="1" customWidth="1"/>
    <col min="10" max="10" width="10.08984375" style="2" bestFit="1" customWidth="1"/>
    <col min="11" max="11" width="2.90625" style="2" customWidth="1"/>
    <col min="12" max="12" width="8.90625" style="2" customWidth="1"/>
    <col min="13" max="13" width="16.36328125" style="183" customWidth="1"/>
    <col min="14" max="14" width="19.453125" style="181" bestFit="1" customWidth="1"/>
    <col min="15" max="16384" width="11.54296875" style="2"/>
  </cols>
  <sheetData>
    <row r="1" spans="1:14" ht="15.5" x14ac:dyDescent="0.35">
      <c r="A1" s="289" t="s">
        <v>51</v>
      </c>
      <c r="B1" s="289"/>
      <c r="C1" s="289"/>
      <c r="D1" s="289"/>
      <c r="E1" s="289"/>
      <c r="F1" s="1"/>
      <c r="G1" s="277" t="s">
        <v>9</v>
      </c>
      <c r="H1" s="277"/>
      <c r="I1" s="277"/>
      <c r="J1" s="277"/>
    </row>
    <row r="2" spans="1:14" ht="15.5" x14ac:dyDescent="0.35">
      <c r="A2" s="289"/>
      <c r="B2" s="289"/>
      <c r="C2" s="289"/>
      <c r="D2" s="289"/>
      <c r="E2" s="289"/>
      <c r="F2" s="3"/>
      <c r="G2" s="277"/>
      <c r="H2" s="277"/>
      <c r="I2" s="277"/>
      <c r="J2" s="277"/>
    </row>
    <row r="3" spans="1:14" x14ac:dyDescent="0.3">
      <c r="A3" s="288" t="s">
        <v>11</v>
      </c>
      <c r="B3" s="288"/>
      <c r="C3" s="288"/>
      <c r="D3" s="288"/>
      <c r="E3" s="288"/>
      <c r="G3" s="277"/>
      <c r="H3" s="277"/>
      <c r="I3" s="277"/>
      <c r="J3" s="277"/>
    </row>
    <row r="4" spans="1:14" ht="13.25" customHeight="1" x14ac:dyDescent="0.3">
      <c r="A4" s="278" t="s">
        <v>50</v>
      </c>
      <c r="B4" s="278"/>
      <c r="C4" s="278"/>
      <c r="D4" s="278"/>
      <c r="E4" s="278"/>
      <c r="F4" s="6"/>
      <c r="G4" s="277"/>
      <c r="H4" s="277"/>
      <c r="I4" s="277"/>
      <c r="J4" s="277"/>
    </row>
    <row r="5" spans="1:14" ht="6" customHeight="1" x14ac:dyDescent="0.3">
      <c r="A5" s="278"/>
      <c r="B5" s="278"/>
      <c r="C5" s="278"/>
      <c r="D5" s="278"/>
      <c r="E5" s="278"/>
      <c r="F5" s="6"/>
      <c r="G5" s="277"/>
      <c r="H5" s="277"/>
      <c r="I5" s="277"/>
      <c r="J5" s="277"/>
    </row>
    <row r="6" spans="1:14" ht="13.25" customHeight="1" x14ac:dyDescent="0.3">
      <c r="A6" s="278"/>
      <c r="B6" s="278"/>
      <c r="C6" s="278"/>
      <c r="D6" s="278"/>
      <c r="E6" s="278"/>
      <c r="F6" s="6"/>
      <c r="G6" s="277"/>
      <c r="H6" s="277"/>
      <c r="I6" s="277"/>
      <c r="J6" s="277"/>
    </row>
    <row r="7" spans="1:14" ht="13.25" customHeight="1" x14ac:dyDescent="0.3">
      <c r="A7" s="5"/>
      <c r="B7" s="6"/>
      <c r="C7" s="6"/>
      <c r="D7" s="6"/>
      <c r="E7" s="6"/>
      <c r="F7" s="6"/>
      <c r="G7" s="277"/>
      <c r="H7" s="277"/>
      <c r="I7" s="277"/>
      <c r="J7" s="277"/>
    </row>
    <row r="8" spans="1:14" ht="6" customHeight="1" thickBot="1" x14ac:dyDescent="0.35">
      <c r="A8" s="7"/>
      <c r="B8" s="8"/>
      <c r="C8" s="8"/>
      <c r="D8" s="8"/>
      <c r="E8" s="9"/>
      <c r="F8" s="9"/>
      <c r="G8" s="9"/>
      <c r="H8" s="9"/>
      <c r="I8" s="10"/>
      <c r="J8" s="10"/>
      <c r="K8" s="11"/>
      <c r="L8" s="12"/>
    </row>
    <row r="9" spans="1:14" ht="6" customHeight="1" x14ac:dyDescent="0.3">
      <c r="A9" s="13"/>
      <c r="B9" s="14"/>
      <c r="C9" s="14"/>
      <c r="D9" s="14"/>
      <c r="E9" s="15"/>
      <c r="F9" s="15"/>
      <c r="G9" s="15"/>
      <c r="H9" s="15"/>
      <c r="I9" s="16"/>
      <c r="J9" s="16"/>
      <c r="K9" s="17"/>
      <c r="L9" s="18"/>
    </row>
    <row r="10" spans="1:14" x14ac:dyDescent="0.3">
      <c r="A10" s="119"/>
      <c r="B10" s="120"/>
      <c r="C10" s="120"/>
      <c r="D10" s="120"/>
      <c r="E10" s="121"/>
      <c r="F10" s="121"/>
      <c r="G10" s="121"/>
      <c r="H10" s="105"/>
      <c r="I10" s="122"/>
      <c r="J10" s="122"/>
      <c r="K10" s="123"/>
      <c r="L10" s="124"/>
    </row>
    <row r="11" spans="1:14" x14ac:dyDescent="0.3">
      <c r="A11" s="290" t="s">
        <v>6</v>
      </c>
      <c r="B11" s="290"/>
      <c r="C11" s="125" t="str">
        <f>CONCATENATE(Mantelbogen!C6,", ",Mantelbogen!C7)</f>
        <v>ATHENE, Pallas</v>
      </c>
      <c r="D11" s="126"/>
      <c r="E11" s="127"/>
      <c r="F11" s="128"/>
      <c r="G11" s="128" t="s">
        <v>8</v>
      </c>
      <c r="H11" s="129"/>
      <c r="I11" s="130">
        <f>DATE(J11,1,1)</f>
        <v>45658</v>
      </c>
      <c r="J11" s="131">
        <f>Mantelbogen!D5</f>
        <v>2025</v>
      </c>
      <c r="K11" s="132"/>
      <c r="L11" s="133"/>
    </row>
    <row r="12" spans="1:14" x14ac:dyDescent="0.3">
      <c r="A12" s="134"/>
      <c r="B12" s="124"/>
      <c r="C12" s="135"/>
      <c r="D12" s="136"/>
      <c r="E12" s="128"/>
      <c r="F12" s="128"/>
      <c r="G12" s="121"/>
      <c r="H12" s="105"/>
      <c r="I12" s="122"/>
      <c r="J12" s="137"/>
      <c r="K12" s="123"/>
      <c r="L12" s="124"/>
    </row>
    <row r="13" spans="1:14" x14ac:dyDescent="0.3">
      <c r="A13" s="290" t="s">
        <v>7</v>
      </c>
      <c r="B13" s="290"/>
      <c r="C13" s="138" t="str">
        <f>Mantelbogen!C8</f>
        <v>Geschäftsstelle</v>
      </c>
      <c r="D13" s="139"/>
      <c r="E13" s="127"/>
      <c r="F13" s="140"/>
      <c r="G13" s="140"/>
      <c r="H13" s="129"/>
      <c r="I13" s="126"/>
      <c r="J13" s="127"/>
      <c r="K13" s="132"/>
      <c r="L13" s="133"/>
    </row>
    <row r="14" spans="1:14" ht="13.5" thickBot="1" x14ac:dyDescent="0.35">
      <c r="A14" s="134"/>
      <c r="B14" s="141"/>
      <c r="C14" s="141"/>
      <c r="D14" s="141"/>
      <c r="E14" s="105"/>
      <c r="F14" s="105"/>
      <c r="G14" s="105"/>
      <c r="H14" s="105"/>
      <c r="I14" s="105"/>
      <c r="J14" s="105"/>
      <c r="K14" s="123"/>
      <c r="L14" s="124"/>
    </row>
    <row r="15" spans="1:14" ht="13.25" customHeight="1" x14ac:dyDescent="0.25">
      <c r="A15" s="282"/>
      <c r="B15" s="282" t="s">
        <v>72</v>
      </c>
      <c r="C15" s="282" t="s">
        <v>130</v>
      </c>
      <c r="D15" s="282" t="s">
        <v>19</v>
      </c>
      <c r="E15" s="282" t="s">
        <v>16</v>
      </c>
      <c r="F15" s="283" t="s">
        <v>122</v>
      </c>
      <c r="G15" s="283"/>
      <c r="H15" s="279" t="s">
        <v>45</v>
      </c>
      <c r="I15" s="284" t="s">
        <v>0</v>
      </c>
      <c r="J15" s="285"/>
      <c r="K15" s="244" t="s">
        <v>43</v>
      </c>
      <c r="L15" s="245"/>
      <c r="M15" s="243"/>
      <c r="N15" s="214"/>
    </row>
    <row r="16" spans="1:14" thickBot="1" x14ac:dyDescent="0.3">
      <c r="A16" s="282"/>
      <c r="B16" s="282"/>
      <c r="C16" s="282"/>
      <c r="D16" s="282"/>
      <c r="E16" s="282"/>
      <c r="F16" s="283"/>
      <c r="G16" s="283"/>
      <c r="H16" s="280"/>
      <c r="I16" s="83" t="s">
        <v>1</v>
      </c>
      <c r="J16" s="84" t="s">
        <v>2</v>
      </c>
      <c r="K16" s="246"/>
      <c r="L16" s="247"/>
      <c r="M16" s="243"/>
      <c r="N16" s="179" t="str">
        <f>IF($I$17/$H$58 &gt; 1, CONCATENATE("Noch ",TEXT(($I$17-$H$58)*24,"#,0")), "" )</f>
        <v/>
      </c>
    </row>
    <row r="17" spans="1:14" ht="13.5" thickBot="1" x14ac:dyDescent="0.35">
      <c r="A17" s="282"/>
      <c r="B17" s="282"/>
      <c r="C17" s="282"/>
      <c r="D17" s="282"/>
      <c r="E17" s="282"/>
      <c r="F17" s="283"/>
      <c r="G17" s="283"/>
      <c r="H17" s="280"/>
      <c r="I17" s="286">
        <f>IF(Mantelbogen!D26=I11,Mantelbogen!C28,0)</f>
        <v>0</v>
      </c>
      <c r="J17" s="287">
        <f>IF(Mantelbogen!D26=I11,Mantelbogen!D28,0)</f>
        <v>0</v>
      </c>
      <c r="K17" s="248" t="str">
        <f>IF(I17/H58 &gt; 1, I17/H58, " " )</f>
        <v xml:space="preserve"> </v>
      </c>
      <c r="L17" s="249"/>
      <c r="N17" s="180" t="str">
        <f>IF($I$17/$H$58 &gt; 1, "Überstunden", " " )</f>
        <v xml:space="preserve"> </v>
      </c>
    </row>
    <row r="18" spans="1:14" ht="13.5" thickBot="1" x14ac:dyDescent="0.35">
      <c r="A18" s="282"/>
      <c r="B18" s="282"/>
      <c r="C18" s="282"/>
      <c r="D18" s="282"/>
      <c r="E18" s="282"/>
      <c r="F18" s="283"/>
      <c r="G18" s="283"/>
      <c r="H18" s="281"/>
      <c r="I18" s="286"/>
      <c r="J18" s="287"/>
      <c r="K18" s="250"/>
      <c r="L18" s="251"/>
      <c r="N18" s="180" t="str">
        <f>IF($I$17/$H$58 &gt; 1, "bis 01.04. abzubauen !", " " )</f>
        <v xml:space="preserve"> </v>
      </c>
    </row>
    <row r="19" spans="1:14" ht="17.399999999999999" customHeight="1" x14ac:dyDescent="0.55000000000000004">
      <c r="A19" s="86">
        <v>1</v>
      </c>
      <c r="B19" s="85" t="str">
        <f>TEXT(DATE(J$11,MONTH(I$11),A19),Textcode)</f>
        <v>Mittwoch</v>
      </c>
      <c r="C19" s="87" t="s">
        <v>22</v>
      </c>
      <c r="D19" s="213">
        <f t="array" ref="D19">IF(AND(COUNT(SEARCH(Sonderarbeit,$N19,1))&gt;=1,$B19=Ref!$A$7),Ref!$K$1,Ref!$K$2)</f>
        <v>0.70833333333333337</v>
      </c>
      <c r="E19" s="213">
        <f t="array" ref="E19">IF(AND(COUNT(SEARCH(Sonderarbeit,$N19))&gt;=1,$B19=Ref!$A$7),,Ref!$K$3)</f>
        <v>2.0833333333333332E-2</v>
      </c>
      <c r="F19" s="270">
        <f>IF(ISTEXT(C19),,D19-C19-E19)</f>
        <v>0</v>
      </c>
      <c r="G19" s="271"/>
      <c r="H19" s="88">
        <f t="shared" ref="H19:H23" si="0">IF(AND(ISTEXT(C19),ISERR(SEARCH("ausgleich",C19,1))),,INDEX(H$51:H$58,WEEKDAY(DATE(J$11,MONTH(I$11),A19),2),1,1))</f>
        <v>0</v>
      </c>
      <c r="I19" s="89" t="str">
        <f>IF(AND(F19&gt;H19,OR(AND(OR($B19&lt;&gt;Ref!$A$7,$H$56&gt;0),OR($B19&lt;&gt;Ref!$A$8,$H$57&gt;0)),COUNT(SEARCH(Sonderarbeit,$N19))&gt;=1),ISNONTEXT(C19),C19&lt;&gt;""),F19-H19,"")</f>
        <v/>
      </c>
      <c r="J19" s="90" t="str">
        <f>IF(OR(AND(F19&lt;H19,OR(AND(OR($B19&lt;&gt;Ref!$A$7,$H$56&gt;0),OR($B19&lt;&gt;Ref!$A$8,$H$57&gt;0)),COUNT(SEARCH(Sonderarbeit,$N19))&gt;=1)),C19="Ausgleich"),H19-F19,"")</f>
        <v/>
      </c>
      <c r="K19" s="170" t="str">
        <f>IF(AND(B19=Ref!$A$8,SUM(I19:I19)&lt;SUM(J19:J19)),"-","")</f>
        <v/>
      </c>
      <c r="L19" s="171" t="str">
        <f>IF(B19=Ref!$A$8,ABS(SUM(I19:I19)-SUM(J19:J19)),"")</f>
        <v/>
      </c>
      <c r="N19" s="217"/>
    </row>
    <row r="20" spans="1:14" ht="17.399999999999999" customHeight="1" x14ac:dyDescent="0.55000000000000004">
      <c r="A20" s="86">
        <v>2</v>
      </c>
      <c r="B20" s="85" t="str">
        <f t="shared" ref="B20:B49" si="1">TEXT(DATE(J$11,MONTH(I$11),A20),Textcode)</f>
        <v>Donnerstag</v>
      </c>
      <c r="C20" s="87">
        <v>0.35416666666666669</v>
      </c>
      <c r="D20" s="213">
        <f t="array" ref="D20">IF(AND(COUNT(SEARCH(Sonderarbeit,$N20,1))&gt;=1,$B20=Ref!$A$7),Ref!$K$1,Ref!$K$2)</f>
        <v>0.70833333333333337</v>
      </c>
      <c r="E20" s="213">
        <f t="array" ref="E20">IF(AND(COUNT(SEARCH(Sonderarbeit,$N20))&gt;=1,$B20=Ref!$A$7),,Ref!$K$3)</f>
        <v>2.0833333333333332E-2</v>
      </c>
      <c r="F20" s="270">
        <f>IF(ISTEXT(C20),,D20-C20-E20)</f>
        <v>0.33333333333333337</v>
      </c>
      <c r="G20" s="271"/>
      <c r="H20" s="88">
        <f t="shared" si="0"/>
        <v>0.33333333333333331</v>
      </c>
      <c r="I20" s="89" t="str">
        <f>IF(AND(F20&gt;H20,OR(AND(OR($B20&lt;&gt;Ref!$A$7,$H$56&gt;0),OR($B20&lt;&gt;Ref!$A$8,$H$57&gt;0)),COUNT(SEARCH(Sonderarbeit,$N20))&gt;=1),ISNONTEXT(C20),C20&lt;&gt;""),F20-H20,"")</f>
        <v/>
      </c>
      <c r="J20" s="90" t="str">
        <f>IF(OR(AND(F20&lt;H20,OR(AND(OR($B20&lt;&gt;Ref!$A$7,$H$56&gt;0),OR($B20&lt;&gt;Ref!$A$8,$H$57&gt;0)),COUNT(SEARCH(Sonderarbeit,$N20))&gt;=1)),C20="Ausgleich"),H20-F20,"")</f>
        <v/>
      </c>
      <c r="K20" s="91" t="str">
        <f>IF(AND(B20=Ref!$A$8,SUM(I19:I20)&lt;SUM(J19:J20)),"-","")</f>
        <v/>
      </c>
      <c r="L20" s="92" t="str">
        <f>IF(B20=Ref!$A$8,ABS(SUM(I19:I20)-SUM(J19:J20)),"")</f>
        <v/>
      </c>
    </row>
    <row r="21" spans="1:14" ht="17.399999999999999" customHeight="1" x14ac:dyDescent="0.55000000000000004">
      <c r="A21" s="93">
        <v>3</v>
      </c>
      <c r="B21" s="85" t="str">
        <f t="shared" si="1"/>
        <v>Freitag</v>
      </c>
      <c r="C21" s="87">
        <v>0.35416666666666669</v>
      </c>
      <c r="D21" s="213">
        <f t="array" ref="D21">IF(AND(COUNT(SEARCH(Sonderarbeit,$N21,1))&gt;=1,$B21=Ref!$A$7),Ref!$K$1,Ref!$K$2)</f>
        <v>0.70833333333333337</v>
      </c>
      <c r="E21" s="213">
        <f t="array" ref="E21">IF(AND(COUNT(SEARCH(Sonderarbeit,$N21))&gt;=1,$B21=Ref!$A$7),,Ref!$K$3)</f>
        <v>2.0833333333333332E-2</v>
      </c>
      <c r="F21" s="270">
        <f t="shared" ref="F21:F49" si="2">IF(ISTEXT(C21),,D21-C21-E21)</f>
        <v>0.33333333333333337</v>
      </c>
      <c r="G21" s="271"/>
      <c r="H21" s="88">
        <f t="shared" si="0"/>
        <v>0.3125</v>
      </c>
      <c r="I21" s="89">
        <f>IF(AND(F21&gt;H21,OR(AND(OR($B21&lt;&gt;Ref!$A$7,$H$56&gt;0),OR($B21&lt;&gt;Ref!$A$8,$H$57&gt;0)),COUNT(SEARCH(Sonderarbeit,$N21))&gt;=1),ISNONTEXT(C21),C21&lt;&gt;""),F21-H21,"")</f>
        <v>2.083333333333337E-2</v>
      </c>
      <c r="J21" s="90" t="str">
        <f>IF(OR(AND(F21&lt;H21,OR(AND(OR($B21&lt;&gt;Ref!$A$7,$H$56&gt;0),OR($B21&lt;&gt;Ref!$A$8,$H$57&gt;0)),COUNT(SEARCH(Sonderarbeit,$N21))&gt;=1)),C21="Ausgleich"),H21-F21,"")</f>
        <v/>
      </c>
      <c r="K21" s="91" t="str">
        <f>IF(AND(B21=Ref!$A$8,SUM(I19:I21)&lt;SUM(J19:J21)),"-","")</f>
        <v/>
      </c>
      <c r="L21" s="92" t="str">
        <f>IF(B21=Ref!$A$8,ABS(SUM(I19:I21)-SUM(J19:J21)),"")</f>
        <v/>
      </c>
      <c r="N21" s="181" t="s">
        <v>135</v>
      </c>
    </row>
    <row r="22" spans="1:14" ht="17.399999999999999" customHeight="1" x14ac:dyDescent="0.55000000000000004">
      <c r="A22" s="94">
        <v>4</v>
      </c>
      <c r="B22" s="85" t="str">
        <f t="shared" si="1"/>
        <v>Samstag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v>
      </c>
      <c r="I22" s="89" t="str">
        <f>IF(AND(F22&gt;H22,OR(AND(OR($B22&lt;&gt;Ref!$A$7,$H$56&gt;0),OR($B22&lt;&gt;Ref!$A$8,$H$57&gt;0)),COUNT(SEARCH(Sonderarbeit,$N22))&gt;=1),ISNONTEXT(C22),C22&lt;&gt;""),F22-H22,"")</f>
        <v/>
      </c>
      <c r="J22" s="90" t="str">
        <f>IF(OR(AND(F22&lt;H22,OR(AND(OR($B22&lt;&gt;Ref!$A$7,$H$56&gt;0),OR($B22&lt;&gt;Ref!$A$8,$H$57&gt;0)),COUNT(SEARCH(Sonderarbeit,$N22))&gt;=1)),C22="Ausgleich"),H22-F22,"")</f>
        <v/>
      </c>
      <c r="K22" s="91" t="str">
        <f>IF(AND(B22=Ref!$A$8,SUM(I19:I22)&lt;SUM(J19:J22)),"-","")</f>
        <v/>
      </c>
      <c r="L22" s="92" t="str">
        <f>IF(B22=Ref!$A$8,ABS(SUM(I19:I22)-SUM(J19:J22)),"")</f>
        <v/>
      </c>
      <c r="N22" s="216"/>
    </row>
    <row r="23" spans="1:14" ht="17.399999999999999" customHeight="1" x14ac:dyDescent="0.55000000000000004">
      <c r="A23" s="94">
        <v>5</v>
      </c>
      <c r="B23" s="85" t="str">
        <f t="shared" si="1"/>
        <v>Sonntag</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v>
      </c>
      <c r="I23" s="89" t="str">
        <f>IF(AND(F23&gt;H23,OR(AND(OR($B23&lt;&gt;Ref!$A$7,$H$56&gt;0),OR($B23&lt;&gt;Ref!$A$8,$H$57&gt;0)),COUNT(SEARCH(Sonderarbeit,$N23))&gt;=1),ISNONTEXT(C23),C23&lt;&gt;""),F23-H23,"")</f>
        <v/>
      </c>
      <c r="J23" s="90" t="str">
        <f>IF(OR(AND(F23&lt;H23,OR(AND(OR($B23&lt;&gt;Ref!$A$7,$H$56&gt;0),OR($B23&lt;&gt;Ref!$A$8,$H$57&gt;0)),COUNT(SEARCH(Sonderarbeit,$N23))&gt;=1)),C23="Ausgleich"),H23-F23,"")</f>
        <v/>
      </c>
      <c r="K23" s="91" t="str">
        <f>IF(AND(B23=Ref!$A$8,SUM(I19:I23)&lt;SUM(J19:J23)),"-","")</f>
        <v/>
      </c>
      <c r="L23" s="92">
        <f>IF(B23=Ref!$A$8,ABS(SUM(I19:I23)-SUM(J19:J23)),"")</f>
        <v>2.083333333333337E-2</v>
      </c>
    </row>
    <row r="24" spans="1:14" ht="17.399999999999999" customHeight="1" x14ac:dyDescent="0.55000000000000004">
      <c r="A24" s="86">
        <v>6</v>
      </c>
      <c r="B24" s="85" t="str">
        <f t="shared" si="1"/>
        <v>Montag</v>
      </c>
      <c r="C24" s="87" t="s">
        <v>21</v>
      </c>
      <c r="D24" s="213">
        <f t="array" ref="D24">IF(AND(COUNT(SEARCH(Sonderarbeit,$N24,1))&gt;=1,$B24=Ref!$A$7),Ref!$K$1,Ref!$K$2)</f>
        <v>0.70833333333333337</v>
      </c>
      <c r="E24" s="213">
        <f t="array" ref="E24">IF(AND(COUNT(SEARCH(Sonderarbeit,$N24))&gt;=1,$B24=Ref!$A$7),,Ref!$K$3)</f>
        <v>2.0833333333333332E-2</v>
      </c>
      <c r="F24" s="270">
        <f t="shared" si="2"/>
        <v>0</v>
      </c>
      <c r="G24" s="271"/>
      <c r="H24" s="88">
        <f>IF(AND(ISTEXT(C24),ISERR(SEARCH("ausgleich",C24,1))),,INDEX(H$51:H$58,WEEKDAY(DATE(J$11,MONTH(I$11),A24),2),1,1))</f>
        <v>0</v>
      </c>
      <c r="I24" s="89" t="str">
        <f>IF(AND(F24&gt;H24,OR(AND(OR($B24&lt;&gt;Ref!$A$7,$H$56&gt;0),OR($B24&lt;&gt;Ref!$A$8,$H$57&gt;0)),COUNT(SEARCH(Sonderarbeit,$N24))&gt;=1),ISNONTEXT(C24),C24&lt;&gt;""),F24-H24,"")</f>
        <v/>
      </c>
      <c r="J24" s="90" t="str">
        <f>IF(OR(AND(F24&lt;H24,OR(AND(OR($B24&lt;&gt;Ref!$A$7,$H$56&gt;0),OR($B24&lt;&gt;Ref!$A$8,$H$57&gt;0)),COUNT(SEARCH(Sonderarbeit,$N24))&gt;=1)),C24="Ausgleich"),H24-F24,"")</f>
        <v/>
      </c>
      <c r="K24" s="91" t="str">
        <f>IF(AND(B24=Ref!$A$8,SUM(I19:I24)&lt;SUM(J19:J24)),"-","")</f>
        <v/>
      </c>
      <c r="L24" s="92" t="str">
        <f>IF(B24=Ref!$A$8,ABS(SUM(I19:I24)-SUM(J19:J24)),"")</f>
        <v/>
      </c>
    </row>
    <row r="25" spans="1:14" ht="17.399999999999999" customHeight="1" x14ac:dyDescent="0.55000000000000004">
      <c r="A25" s="94">
        <v>7</v>
      </c>
      <c r="B25" s="85" t="str">
        <f t="shared" si="1"/>
        <v>Dienstag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ref="H25:H49" si="3">IF(AND(ISTEXT(C25),ISERR(SEARCH("ausgleich",C25,1))),,INDEX(H$51:H$58,WEEKDAY(DATE(J$11,MONTH(I$11),A25),2),1,1))</f>
        <v>0.33333333333333331</v>
      </c>
      <c r="I25" s="89" t="str">
        <f>IF(AND(F25&gt;H25,OR(AND(OR($B25&lt;&gt;Ref!$A$7,$H$56&gt;0),OR($B25&lt;&gt;Ref!$A$8,$H$57&gt;0)),COUNT(SEARCH(Sonderarbeit,$N25))&gt;=1),ISNONTEXT(C25),C25&lt;&gt;""),F25-H25,"")</f>
        <v/>
      </c>
      <c r="J25" s="90" t="str">
        <f>IF(OR(AND(F25&lt;H25,OR(AND(OR($B25&lt;&gt;Ref!$A$7,$H$56&gt;0),OR($B25&lt;&gt;Ref!$A$8,$H$57&gt;0)),COUNT(SEARCH(Sonderarbeit,$N25))&gt;=1)),C25="Ausgleich"),H25-F25,"")</f>
        <v/>
      </c>
      <c r="K25" s="91" t="str">
        <f>IF(AND(B25=Ref!$A$8,SUM(I19:I25)&lt;SUM(J19:J25)),"-","")</f>
        <v/>
      </c>
      <c r="L25" s="92" t="str">
        <f>IF(B25=Ref!$A$8,ABS(SUM(I19:I25)-SUM(J19:J25)),"")</f>
        <v/>
      </c>
      <c r="N25" s="181" t="s">
        <v>134</v>
      </c>
    </row>
    <row r="26" spans="1:14" ht="17.399999999999999" customHeight="1" x14ac:dyDescent="0.55000000000000004">
      <c r="A26" s="94">
        <v>8</v>
      </c>
      <c r="B26" s="85" t="str">
        <f t="shared" si="1"/>
        <v>Mittwoch</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3"/>
        <v>0.33333333333333331</v>
      </c>
      <c r="I26" s="89" t="str">
        <f>IF(AND(F26&gt;H26,OR(AND(OR($B26&lt;&gt;Ref!$A$7,$H$56&gt;0),OR($B26&lt;&gt;Ref!$A$8,$H$57&gt;0)),COUNT(SEARCH(Sonderarbeit,$N26))&gt;=1),ISNONTEXT(C26),C26&lt;&gt;""),F26-H26,"")</f>
        <v/>
      </c>
      <c r="J26" s="90" t="str">
        <f>IF(OR(AND(F26&lt;H26,OR(AND(OR($B26&lt;&gt;Ref!$A$7,$H$56&gt;0),OR($B26&lt;&gt;Ref!$A$8,$H$57&gt;0)),COUNT(SEARCH(Sonderarbeit,$N26))&gt;=1)),C26="Ausgleich"),H26-F26,"")</f>
        <v/>
      </c>
      <c r="K26" s="91" t="str">
        <f>IF(AND(B26=Ref!$A$8,SUM(I20:I26)&lt;SUM(J20:J26)),"-","")</f>
        <v/>
      </c>
      <c r="L26" s="92" t="str">
        <f>IF(B26=Ref!$A$8,ABS(SUM(I20:I26)-SUM(J20:J26)),"")</f>
        <v/>
      </c>
    </row>
    <row r="27" spans="1:14" ht="17.399999999999999" customHeight="1" x14ac:dyDescent="0.55000000000000004">
      <c r="A27" s="86">
        <v>9</v>
      </c>
      <c r="B27" s="85" t="str">
        <f t="shared" si="1"/>
        <v>Donnerstag</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3"/>
        <v>0.33333333333333331</v>
      </c>
      <c r="I27" s="89" t="str">
        <f>IF(AND(F27&gt;H27,OR(AND(OR($B27&lt;&gt;Ref!$A$7,$H$56&gt;0),OR($B27&lt;&gt;Ref!$A$8,$H$57&gt;0)),COUNT(SEARCH(Sonderarbeit,$N27))&gt;=1),ISNONTEXT(C27),C27&lt;&gt;""),F27-H27,"")</f>
        <v/>
      </c>
      <c r="J27" s="90" t="str">
        <f>IF(OR(AND(F27&lt;H27,OR(AND(OR($B27&lt;&gt;Ref!$A$7,$H$56&gt;0),OR($B27&lt;&gt;Ref!$A$8,$H$57&gt;0)),COUNT(SEARCH(Sonderarbeit,$N27))&gt;=1)),C27="Ausgleich"),H27-F27,"")</f>
        <v/>
      </c>
      <c r="K27" s="91" t="str">
        <f>IF(AND(B27=Ref!$A$8,SUM(I21:I27)&lt;SUM(J21:J27)),"-","")</f>
        <v/>
      </c>
      <c r="L27" s="92" t="str">
        <f>IF(B27=Ref!$A$8,ABS(SUM(I21:I27)-SUM(J21:J27)),"")</f>
        <v/>
      </c>
    </row>
    <row r="28" spans="1:14" ht="17.399999999999999" customHeight="1" x14ac:dyDescent="0.55000000000000004">
      <c r="A28" s="86">
        <v>10</v>
      </c>
      <c r="B28" s="85" t="str">
        <f t="shared" si="1"/>
        <v>Freitag</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3"/>
        <v>0.3125</v>
      </c>
      <c r="I28" s="89">
        <f>IF(AND(F28&gt;H28,OR(AND(OR($B28&lt;&gt;Ref!$A$7,$H$56&gt;0),OR($B28&lt;&gt;Ref!$A$8,$H$57&gt;0)),COUNT(SEARCH(Sonderarbeit,$N28))&gt;=1),ISNONTEXT(C28),C28&lt;&gt;""),F28-H28,"")</f>
        <v>2.083333333333337E-2</v>
      </c>
      <c r="J28" s="90" t="str">
        <f>IF(OR(AND(F28&lt;H28,OR(AND(OR($B28&lt;&gt;Ref!$A$7,$H$56&gt;0),OR($B28&lt;&gt;Ref!$A$8,$H$57&gt;0)),COUNT(SEARCH(Sonderarbeit,$N28))&gt;=1)),C28="Ausgleich"),H28-F28,"")</f>
        <v/>
      </c>
      <c r="K28" s="91" t="str">
        <f>IF(AND(B28=Ref!$A$8,SUM(I22:I28)&lt;SUM(J22:J28)),"-","")</f>
        <v/>
      </c>
      <c r="L28" s="92" t="str">
        <f>IF(B28=Ref!$A$8,ABS(SUM(I22:I28)-SUM(J22:J28)),"")</f>
        <v/>
      </c>
    </row>
    <row r="29" spans="1:14" ht="17.399999999999999" customHeight="1" x14ac:dyDescent="0.55000000000000004">
      <c r="A29" s="94">
        <v>11</v>
      </c>
      <c r="B29" s="85" t="str">
        <f t="shared" si="1"/>
        <v>Samstag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3"/>
        <v>0</v>
      </c>
      <c r="I29" s="89" t="str">
        <f>IF(AND(F29&gt;H29,OR(AND(OR($B29&lt;&gt;Ref!$A$7,$H$56&gt;0),OR($B29&lt;&gt;Ref!$A$8,$H$57&gt;0)),COUNT(SEARCH(Sonderarbeit,$N29))&gt;=1),ISNONTEXT(C29),C29&lt;&gt;""),F29-H29,"")</f>
        <v/>
      </c>
      <c r="J29" s="90" t="str">
        <f>IF(OR(AND(F29&lt;H29,OR(AND(OR($B29&lt;&gt;Ref!$A$7,$H$56&gt;0),OR($B29&lt;&gt;Ref!$A$8,$H$57&gt;0)),COUNT(SEARCH(Sonderarbeit,$N29))&gt;=1)),C29="Ausgleich"),H29-F29,"")</f>
        <v/>
      </c>
      <c r="K29" s="91" t="str">
        <f>IF(AND(B29=Ref!$A$8,SUM(I23:I29)&lt;SUM(J23:J29)),"-","")</f>
        <v/>
      </c>
      <c r="L29" s="92" t="str">
        <f>IF(B29=Ref!$A$8,ABS(SUM(I23:I29)-SUM(J23:J29)),"")</f>
        <v/>
      </c>
    </row>
    <row r="30" spans="1:14" ht="17.399999999999999" customHeight="1" x14ac:dyDescent="0.55000000000000004">
      <c r="A30" s="94">
        <v>12</v>
      </c>
      <c r="B30" s="85" t="str">
        <f t="shared" si="1"/>
        <v>Sonntag</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3"/>
        <v>0</v>
      </c>
      <c r="I30" s="89" t="str">
        <f>IF(AND(F30&gt;H30,OR(AND(OR($B30&lt;&gt;Ref!$A$7,$H$56&gt;0),OR($B30&lt;&gt;Ref!$A$8,$H$57&gt;0)),COUNT(SEARCH(Sonderarbeit,$N30))&gt;=1),ISNONTEXT(C30),C30&lt;&gt;""),F30-H30,"")</f>
        <v/>
      </c>
      <c r="J30" s="90" t="str">
        <f>IF(OR(AND(F30&lt;H30,OR(AND(OR($B30&lt;&gt;Ref!$A$7,$H$56&gt;0),OR($B30&lt;&gt;Ref!$A$8,$H$57&gt;0)),COUNT(SEARCH(Sonderarbeit,$N30))&gt;=1)),C30="Ausgleich"),H30-F30,"")</f>
        <v/>
      </c>
      <c r="K30" s="91" t="str">
        <f>IF(AND(B30=Ref!$A$8,SUM(I24:I30)&lt;SUM(J24:J30)),"-","")</f>
        <v/>
      </c>
      <c r="L30" s="92">
        <f>IF(B30=Ref!$A$8,ABS(SUM(I24:I30)-SUM(J24:J30)),"")</f>
        <v>2.083333333333337E-2</v>
      </c>
    </row>
    <row r="31" spans="1:14" ht="17.399999999999999" customHeight="1" x14ac:dyDescent="0.55000000000000004">
      <c r="A31" s="94">
        <v>13</v>
      </c>
      <c r="B31" s="85" t="str">
        <f t="shared" si="1"/>
        <v>Montag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3"/>
        <v>0.33333333333333331</v>
      </c>
      <c r="I31" s="89" t="str">
        <f>IF(AND(F31&gt;H31,OR(AND(OR($B31&lt;&gt;Ref!$A$7,$H$56&gt;0),OR($B31&lt;&gt;Ref!$A$8,$H$57&gt;0)),COUNT(SEARCH(Sonderarbeit,$N31))&gt;=1),ISNONTEXT(C31),C31&lt;&gt;""),F31-H31,"")</f>
        <v/>
      </c>
      <c r="J31" s="90" t="str">
        <f>IF(OR(AND(F31&lt;H31,OR(AND(OR($B31&lt;&gt;Ref!$A$7,$H$56&gt;0),OR($B31&lt;&gt;Ref!$A$8,$H$57&gt;0)),COUNT(SEARCH(Sonderarbeit,$N31))&gt;=1)),C31="Ausgleich"),H31-F31,"")</f>
        <v/>
      </c>
      <c r="K31" s="91" t="str">
        <f>IF(AND(B31=Ref!$A$8,SUM(I25:I31)&lt;SUM(J25:J31)),"-","")</f>
        <v/>
      </c>
      <c r="L31" s="92" t="str">
        <f>IF(B31=Ref!$A$8,ABS(SUM(I25:I31)-SUM(J25:J31)),"")</f>
        <v/>
      </c>
    </row>
    <row r="32" spans="1:14" ht="17.399999999999999" customHeight="1" x14ac:dyDescent="0.55000000000000004">
      <c r="A32" s="94">
        <v>14</v>
      </c>
      <c r="B32" s="85" t="str">
        <f t="shared" si="1"/>
        <v>Dienstag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3"/>
        <v>0.33333333333333331</v>
      </c>
      <c r="I32" s="89" t="str">
        <f>IF(AND(F32&gt;H32,OR(AND(OR($B32&lt;&gt;Ref!$A$7,$H$56&gt;0),OR($B32&lt;&gt;Ref!$A$8,$H$57&gt;0)),COUNT(SEARCH(Sonderarbeit,$N32))&gt;=1),ISNONTEXT(C32),C32&lt;&gt;""),F32-H32,"")</f>
        <v/>
      </c>
      <c r="J32" s="90" t="str">
        <f>IF(OR(AND(F32&lt;H32,OR(AND(OR($B32&lt;&gt;Ref!$A$7,$H$56&gt;0),OR($B32&lt;&gt;Ref!$A$8,$H$57&gt;0)),COUNT(SEARCH(Sonderarbeit,$N32))&gt;=1)),C32="Ausgleich"),H32-F32,"")</f>
        <v/>
      </c>
      <c r="K32" s="91" t="str">
        <f>IF(AND(B32=Ref!$A$8,SUM(I26:I32)&lt;SUM(J26:J32)),"-","")</f>
        <v/>
      </c>
      <c r="L32" s="92" t="str">
        <f>IF(B32=Ref!$A$8,ABS(SUM(I26:I32)-SUM(J26:J32)),"")</f>
        <v/>
      </c>
    </row>
    <row r="33" spans="1:14" ht="17.399999999999999" customHeight="1" x14ac:dyDescent="0.55000000000000004">
      <c r="A33" s="86">
        <v>15</v>
      </c>
      <c r="B33" s="85" t="str">
        <f t="shared" si="1"/>
        <v>Mittwoch</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3"/>
        <v>0.33333333333333331</v>
      </c>
      <c r="I33" s="89" t="str">
        <f>IF(AND(F33&gt;H33,OR(AND(OR($B33&lt;&gt;Ref!$A$7,$H$56&gt;0),OR($B33&lt;&gt;Ref!$A$8,$H$57&gt;0)),COUNT(SEARCH(Sonderarbeit,$N33))&gt;=1),ISNONTEXT(C33),C33&lt;&gt;""),F33-H33,"")</f>
        <v/>
      </c>
      <c r="J33" s="90" t="str">
        <f>IF(OR(AND(F33&lt;H33,OR(AND(OR($B33&lt;&gt;Ref!$A$7,$H$56&gt;0),OR($B33&lt;&gt;Ref!$A$8,$H$57&gt;0)),COUNT(SEARCH(Sonderarbeit,$N33))&gt;=1)),C33="Ausgleich"),H33-F33,"")</f>
        <v/>
      </c>
      <c r="K33" s="91" t="str">
        <f>IF(AND(B33=Ref!$A$8,SUM(I27:I33)&lt;SUM(J27:J33)),"-","")</f>
        <v/>
      </c>
      <c r="L33" s="92" t="str">
        <f>IF(B33=Ref!$A$8,ABS(SUM(I27:I33)-SUM(J27:J33)),"")</f>
        <v/>
      </c>
    </row>
    <row r="34" spans="1:14" ht="17.399999999999999" customHeight="1" x14ac:dyDescent="0.55000000000000004">
      <c r="A34" s="86">
        <v>16</v>
      </c>
      <c r="B34" s="85" t="str">
        <f t="shared" si="1"/>
        <v>Donnerstag</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3"/>
        <v>0.33333333333333331</v>
      </c>
      <c r="I34" s="89" t="str">
        <f>IF(AND(F34&gt;H34,OR(AND(OR($B34&lt;&gt;Ref!$A$7,$H$56&gt;0),OR($B34&lt;&gt;Ref!$A$8,$H$57&gt;0)),COUNT(SEARCH(Sonderarbeit,$N34))&gt;=1),ISNONTEXT(C34),C34&lt;&gt;""),F34-H34,"")</f>
        <v/>
      </c>
      <c r="J34" s="90" t="str">
        <f>IF(OR(AND(F34&lt;H34,OR(AND(OR($B34&lt;&gt;Ref!$A$7,$H$56&gt;0),OR($B34&lt;&gt;Ref!$A$8,$H$57&gt;0)),COUNT(SEARCH(Sonderarbeit,$N34))&gt;=1)),C34="Ausgleich"),H34-F34,"")</f>
        <v/>
      </c>
      <c r="K34" s="91" t="str">
        <f>IF(AND(B34=Ref!$A$8,SUM(I28:I34)&lt;SUM(J28:J34)),"-","")</f>
        <v/>
      </c>
      <c r="L34" s="92" t="str">
        <f>IF(B34=Ref!$A$8,ABS(SUM(I28:I34)-SUM(J28:J34)),"")</f>
        <v/>
      </c>
    </row>
    <row r="35" spans="1:14" ht="17.399999999999999" customHeight="1" x14ac:dyDescent="0.55000000000000004">
      <c r="A35" s="86">
        <v>17</v>
      </c>
      <c r="B35" s="85" t="str">
        <f t="shared" si="1"/>
        <v>Freitag</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3"/>
        <v>0.3125</v>
      </c>
      <c r="I35" s="89">
        <f>IF(AND(F35&gt;H35,OR(AND(OR($B35&lt;&gt;Ref!$A$7,$H$56&gt;0),OR($B35&lt;&gt;Ref!$A$8,$H$57&gt;0)),COUNT(SEARCH(Sonderarbeit,$N35))&gt;=1),ISNONTEXT(C35),C35&lt;&gt;""),F35-H35,"")</f>
        <v>2.083333333333337E-2</v>
      </c>
      <c r="J35" s="90" t="str">
        <f>IF(OR(AND(F35&lt;H35,OR(AND(OR($B35&lt;&gt;Ref!$A$7,$H$56&gt;0),OR($B35&lt;&gt;Ref!$A$8,$H$57&gt;0)),COUNT(SEARCH(Sonderarbeit,$N35))&gt;=1)),C35="Ausgleich"),H35-F35,"")</f>
        <v/>
      </c>
      <c r="K35" s="91" t="str">
        <f>IF(AND(B35=Ref!$A$8,SUM(I29:I35)&lt;SUM(J29:J35)),"-","")</f>
        <v/>
      </c>
      <c r="L35" s="92" t="str">
        <f>IF(B35=Ref!$A$8,ABS(SUM(I29:I35)-SUM(J29:J35)),"")</f>
        <v/>
      </c>
      <c r="N35" s="181" t="str">
        <f>IF(Mantelbogen!$C$8="Geschäftsstelle", "2025 Klassensitzung", "")</f>
        <v>2025 Klassensitzung</v>
      </c>
    </row>
    <row r="36" spans="1:14" ht="17.399999999999999" customHeight="1" x14ac:dyDescent="0.55000000000000004">
      <c r="A36" s="86">
        <v>18</v>
      </c>
      <c r="B36" s="85" t="str">
        <f t="shared" si="1"/>
        <v>Samstag</v>
      </c>
      <c r="C36" s="87">
        <v>0.35416666666666669</v>
      </c>
      <c r="D36" s="213">
        <f t="array" ref="D36">IF(AND(COUNT(SEARCH(Sonderarbeit,$N36,1))&gt;=1,$B36=Ref!$A$7),Ref!$K$1,Ref!$K$2)</f>
        <v>0.35416666666666669</v>
      </c>
      <c r="E36" s="213">
        <f t="array" ref="E36">IF(AND(COUNT(SEARCH(Sonderarbeit,$N36))&gt;=1,$B36=Ref!$A$7),,Ref!$K$3)</f>
        <v>0</v>
      </c>
      <c r="F36" s="270">
        <f t="shared" si="2"/>
        <v>0</v>
      </c>
      <c r="G36" s="271"/>
      <c r="H36" s="88">
        <f t="shared" si="3"/>
        <v>0</v>
      </c>
      <c r="I36" s="89" t="str">
        <f>IF(AND(F36&gt;H36,OR(AND(OR($B36&lt;&gt;Ref!$A$7,$H$56&gt;0),OR($B36&lt;&gt;Ref!$A$8,$H$57&gt;0)),COUNT(SEARCH(Sonderarbeit,$N36))&gt;=1),ISNONTEXT(C36),C36&lt;&gt;""),F36-H36,"")</f>
        <v/>
      </c>
      <c r="J36" s="90" t="str">
        <f>IF(OR(AND(F36&lt;H36,OR(AND(OR($B36&lt;&gt;Ref!$A$7,$H$56&gt;0),OR($B36&lt;&gt;Ref!$A$8,$H$57&gt;0)),COUNT(SEARCH(Sonderarbeit,$N36))&gt;=1)),C36="Ausgleich"),H36-F36,"")</f>
        <v/>
      </c>
      <c r="K36" s="91" t="str">
        <f>IF(AND(B36=Ref!$A$8,SUM(I30:I36)&lt;SUM(J30:J36)),"-","")</f>
        <v/>
      </c>
      <c r="L36" s="92" t="str">
        <f>IF(B36=Ref!$A$8,ABS(SUM(I30:I36)-SUM(J30:J36)),"")</f>
        <v/>
      </c>
      <c r="N36" s="181" t="str">
        <f>IF(Mantelbogen!$C$8="Geschäftsstelle", "2025 Gesamtsitzung", "")</f>
        <v>2025 Gesamtsitzung</v>
      </c>
    </row>
    <row r="37" spans="1:14" ht="17.399999999999999" customHeight="1" x14ac:dyDescent="0.55000000000000004">
      <c r="A37" s="86">
        <v>19</v>
      </c>
      <c r="B37" s="85" t="str">
        <f t="shared" si="1"/>
        <v>Sonntag</v>
      </c>
      <c r="C37" s="87">
        <v>0.35416666666666669</v>
      </c>
      <c r="D37" s="213">
        <f t="array" ref="D37">IF(AND(COUNT(SEARCH(Sonderarbeit,$N37,1))&gt;=1,$B37=Ref!$A$7),Ref!$K$1,Ref!$K$2)</f>
        <v>0.70833333333333337</v>
      </c>
      <c r="E37" s="213">
        <f t="array" ref="E37">IF(AND(COUNT(SEARCH(Sonderarbeit,$N37))&gt;=1,$B37=Ref!$A$7),,Ref!$K$3)</f>
        <v>2.0833333333333332E-2</v>
      </c>
      <c r="F37" s="270">
        <f t="shared" si="2"/>
        <v>0.33333333333333337</v>
      </c>
      <c r="G37" s="271"/>
      <c r="H37" s="88">
        <f t="shared" si="3"/>
        <v>0</v>
      </c>
      <c r="I37" s="89" t="str">
        <f>IF(AND(F37&gt;H37,OR(AND(OR($B37&lt;&gt;Ref!$A$7,$H$56&gt;0),OR($B37&lt;&gt;Ref!$A$8,$H$57&gt;0)),COUNT(SEARCH(Sonderarbeit,$N37))&gt;=1),ISNONTEXT(C37),C37&lt;&gt;""),F37-H37,"")</f>
        <v/>
      </c>
      <c r="J37" s="90" t="str">
        <f>IF(OR(AND(F37&lt;H37,OR(AND(OR($B37&lt;&gt;Ref!$A$7,$H$56&gt;0),OR($B37&lt;&gt;Ref!$A$8,$H$57&gt;0)),COUNT(SEARCH(Sonderarbeit,$N37))&gt;=1)),C37="Ausgleich"),H37-F37,"")</f>
        <v/>
      </c>
      <c r="K37" s="91" t="str">
        <f>IF(AND(B37=Ref!$A$8,SUM(I31:I37)&lt;SUM(J31:J37)),"-","")</f>
        <v/>
      </c>
      <c r="L37" s="92">
        <f>IF(B37=Ref!$A$8,ABS(SUM(I31:I37)-SUM(J31:J37)),"")</f>
        <v>2.083333333333337E-2</v>
      </c>
    </row>
    <row r="38" spans="1:14" ht="17.399999999999999" customHeight="1" x14ac:dyDescent="0.55000000000000004">
      <c r="A38" s="86">
        <v>20</v>
      </c>
      <c r="B38" s="85" t="str">
        <f t="shared" si="1"/>
        <v>Montag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0.33333333333333331</v>
      </c>
      <c r="I38" s="89" t="str">
        <f>IF(AND(F38&gt;H38,OR(AND(OR($B38&lt;&gt;Ref!$A$7,$H$56&gt;0),OR($B38&lt;&gt;Ref!$A$8,$H$57&gt;0)),COUNT(SEARCH(Sonderarbeit,$N38))&gt;=1),ISNONTEXT(C38),C38&lt;&gt;""),F38-H38,"")</f>
        <v/>
      </c>
      <c r="J38" s="90" t="str">
        <f>IF(OR(AND(F38&lt;H38,OR(AND(OR($B38&lt;&gt;Ref!$A$7,$H$56&gt;0),OR($B38&lt;&gt;Ref!$A$8,$H$57&gt;0)),COUNT(SEARCH(Sonderarbeit,$N38))&gt;=1)),C38="Ausgleich"),H38-F38,"")</f>
        <v/>
      </c>
      <c r="K38" s="91" t="str">
        <f>IF(AND(B38=Ref!$A$8,SUM(I32:I38)&lt;SUM(J32:J38)),"-","")</f>
        <v/>
      </c>
      <c r="L38" s="92" t="str">
        <f>IF(B38=Ref!$A$8,ABS(SUM(I32:I38)-SUM(J32:J38)),"")</f>
        <v/>
      </c>
    </row>
    <row r="39" spans="1:14" ht="17.399999999999999" customHeight="1" x14ac:dyDescent="0.55000000000000004">
      <c r="A39" s="86">
        <v>21</v>
      </c>
      <c r="B39" s="85" t="str">
        <f t="shared" si="1"/>
        <v>Dienstag</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3"/>
        <v>0.33333333333333331</v>
      </c>
      <c r="I39" s="89" t="str">
        <f>IF(AND(F39&gt;H39,OR(AND(OR($B39&lt;&gt;Ref!$A$7,$H$56&gt;0),OR($B39&lt;&gt;Ref!$A$8,$H$57&gt;0)),COUNT(SEARCH(Sonderarbeit,$N39))&gt;=1),ISNONTEXT(C39),C39&lt;&gt;""),F39-H39,"")</f>
        <v/>
      </c>
      <c r="J39" s="90" t="str">
        <f>IF(OR(AND(F39&lt;H39,OR(AND(OR($B39&lt;&gt;Ref!$A$7,$H$56&gt;0),OR($B39&lt;&gt;Ref!$A$8,$H$57&gt;0)),COUNT(SEARCH(Sonderarbeit,$N39))&gt;=1)),C39="Ausgleich"),H39-F39,"")</f>
        <v/>
      </c>
      <c r="K39" s="91" t="str">
        <f>IF(AND(B39=Ref!$A$8,SUM(I33:I39)&lt;SUM(J33:J39)),"-","")</f>
        <v/>
      </c>
      <c r="L39" s="92" t="str">
        <f>IF(B39=Ref!$A$8,ABS(SUM(I33:I39)-SUM(J33:J39)),"")</f>
        <v/>
      </c>
    </row>
    <row r="40" spans="1:14" ht="17.399999999999999" customHeight="1" x14ac:dyDescent="0.55000000000000004">
      <c r="A40" s="86">
        <v>22</v>
      </c>
      <c r="B40" s="85" t="str">
        <f t="shared" si="1"/>
        <v>Mittwoch</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0.33333333333333331</v>
      </c>
      <c r="I40" s="89" t="str">
        <f>IF(AND(F40&gt;H40,OR(AND(OR($B40&lt;&gt;Ref!$A$7,$H$56&gt;0),OR($B40&lt;&gt;Ref!$A$8,$H$57&gt;0)),COUNT(SEARCH(Sonderarbeit,$N40))&gt;=1),ISNONTEXT(C40),C40&lt;&gt;""),F40-H40,"")</f>
        <v/>
      </c>
      <c r="J40" s="90" t="str">
        <f>IF(OR(AND(F40&lt;H40,OR(AND(OR($B40&lt;&gt;Ref!$A$7,$H$56&gt;0),OR($B40&lt;&gt;Ref!$A$8,$H$57&gt;0)),COUNT(SEARCH(Sonderarbeit,$N40))&gt;=1)),C40="Ausgleich"),H40-F40,"")</f>
        <v/>
      </c>
      <c r="K40" s="91" t="str">
        <f>IF(AND(B40=Ref!$A$8,SUM(I34:I40)&lt;SUM(J34:J40)),"-","")</f>
        <v/>
      </c>
      <c r="L40" s="92" t="str">
        <f>IF(B40=Ref!$A$8,ABS(SUM(I34:I40)-SUM(J34:J40)),"")</f>
        <v/>
      </c>
    </row>
    <row r="41" spans="1:14" ht="17.399999999999999" customHeight="1" x14ac:dyDescent="0.55000000000000004">
      <c r="A41" s="86">
        <v>23</v>
      </c>
      <c r="B41" s="85" t="str">
        <f t="shared" si="1"/>
        <v>Donnerstag</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0.33333333333333331</v>
      </c>
      <c r="I41" s="89" t="str">
        <f>IF(AND(F41&gt;H41,OR(AND(OR($B41&lt;&gt;Ref!$A$7,$H$56&gt;0),OR($B41&lt;&gt;Ref!$A$8,$H$57&gt;0)),COUNT(SEARCH(Sonderarbeit,$N41))&gt;=1),ISNONTEXT(C41),C41&lt;&gt;""),F41-H41,"")</f>
        <v/>
      </c>
      <c r="J41" s="90" t="str">
        <f>IF(OR(AND(F41&lt;H41,OR(AND(OR($B41&lt;&gt;Ref!$A$7,$H$56&gt;0),OR($B41&lt;&gt;Ref!$A$8,$H$57&gt;0)),COUNT(SEARCH(Sonderarbeit,$N41))&gt;=1)),C41="Ausgleich"),H41-F41,"")</f>
        <v/>
      </c>
      <c r="K41" s="91" t="str">
        <f>IF(AND(B41=Ref!$A$8,SUM(I35:I41)&lt;SUM(J35:J41)),"-","")</f>
        <v/>
      </c>
      <c r="L41" s="92" t="str">
        <f>IF(B41=Ref!$A$8,ABS(SUM(I35:I41)-SUM(J35:J41)),"")</f>
        <v/>
      </c>
    </row>
    <row r="42" spans="1:14" ht="17.399999999999999" customHeight="1" x14ac:dyDescent="0.55000000000000004">
      <c r="A42" s="86">
        <v>24</v>
      </c>
      <c r="B42" s="85" t="str">
        <f t="shared" si="1"/>
        <v>Freitag</v>
      </c>
      <c r="C42" s="87">
        <v>0.35416666666666669</v>
      </c>
      <c r="D42" s="213">
        <f t="array" ref="D42">IF(AND(COUNT(SEARCH(Sonderarbeit,$N42,1))&gt;=1,$B42=Ref!$A$7),Ref!$K$1,Ref!$K$2)</f>
        <v>0.70833333333333337</v>
      </c>
      <c r="E42" s="213">
        <f t="array" ref="E42">IF(AND(COUNT(SEARCH(Sonderarbeit,$N42))&gt;=1,$B42=Ref!$A$7),,Ref!$K$3)</f>
        <v>2.0833333333333332E-2</v>
      </c>
      <c r="F42" s="270">
        <f t="shared" si="2"/>
        <v>0.33333333333333337</v>
      </c>
      <c r="G42" s="271"/>
      <c r="H42" s="88">
        <f t="shared" si="3"/>
        <v>0.3125</v>
      </c>
      <c r="I42" s="89">
        <f>IF(AND(F42&gt;H42,OR(AND(OR($B42&lt;&gt;Ref!$A$7,$H$56&gt;0),OR($B42&lt;&gt;Ref!$A$8,$H$57&gt;0)),COUNT(SEARCH(Sonderarbeit,$N42))&gt;=1),ISNONTEXT(C42),C42&lt;&gt;""),F42-H42,"")</f>
        <v>2.083333333333337E-2</v>
      </c>
      <c r="J42" s="90" t="str">
        <f>IF(OR(AND(F42&lt;H42,OR(AND(OR($B42&lt;&gt;Ref!$A$7,$H$56&gt;0),OR($B42&lt;&gt;Ref!$A$8,$H$57&gt;0)),COUNT(SEARCH(Sonderarbeit,$N42))&gt;=1)),C42="Ausgleich"),H42-F42,"")</f>
        <v/>
      </c>
      <c r="K42" s="91" t="str">
        <f>IF(AND(B42=Ref!$A$8,SUM(I36:I42)&lt;SUM(J36:J42)),"-","")</f>
        <v/>
      </c>
      <c r="L42" s="92" t="str">
        <f>IF(B42=Ref!$A$8,ABS(SUM(I36:I42)-SUM(J36:J42)),"")</f>
        <v/>
      </c>
    </row>
    <row r="43" spans="1:14" ht="17.399999999999999" customHeight="1" x14ac:dyDescent="0.55000000000000004">
      <c r="A43" s="86">
        <v>25</v>
      </c>
      <c r="B43" s="85" t="str">
        <f t="shared" si="1"/>
        <v>Samstag</v>
      </c>
      <c r="C43" s="87">
        <v>0.35416666666666669</v>
      </c>
      <c r="D43" s="213">
        <f t="array" ref="D43">IF(AND(COUNT(SEARCH(Sonderarbeit,$N43,1))&gt;=1,$B43=Ref!$A$7),Ref!$K$1,Ref!$K$2)</f>
        <v>0.70833333333333337</v>
      </c>
      <c r="E43" s="213">
        <f t="array" ref="E43">IF(AND(COUNT(SEARCH(Sonderarbeit,$N43))&gt;=1,$B43=Ref!$A$7),,Ref!$K$3)</f>
        <v>2.0833333333333332E-2</v>
      </c>
      <c r="F43" s="270">
        <f t="shared" si="2"/>
        <v>0.33333333333333337</v>
      </c>
      <c r="G43" s="271"/>
      <c r="H43" s="88">
        <f t="shared" si="3"/>
        <v>0</v>
      </c>
      <c r="I43" s="89" t="str">
        <f>IF(AND(F43&gt;H43,OR(AND(OR($B43&lt;&gt;Ref!$A$7,$H$56&gt;0),OR($B43&lt;&gt;Ref!$A$8,$H$57&gt;0)),COUNT(SEARCH(Sonderarbeit,$N43))&gt;=1),ISNONTEXT(C43),C43&lt;&gt;""),F43-H43,"")</f>
        <v/>
      </c>
      <c r="J43" s="90" t="str">
        <f>IF(OR(AND(F43&lt;H43,OR(AND(OR($B43&lt;&gt;Ref!$A$7,$H$56&gt;0),OR($B43&lt;&gt;Ref!$A$8,$H$57&gt;0)),COUNT(SEARCH(Sonderarbeit,$N43))&gt;=1)),C43="Ausgleich"),H43-F43,"")</f>
        <v/>
      </c>
      <c r="K43" s="91" t="str">
        <f>IF(AND(B43=Ref!$A$8,SUM(I37:I43)&lt;SUM(J37:J43)),"-","")</f>
        <v/>
      </c>
      <c r="L43" s="92" t="str">
        <f>IF(B43=Ref!$A$8,ABS(SUM(I37:I43)-SUM(J37:J43)),"")</f>
        <v/>
      </c>
    </row>
    <row r="44" spans="1:14" ht="17.399999999999999" customHeight="1" x14ac:dyDescent="0.55000000000000004">
      <c r="A44" s="86">
        <v>26</v>
      </c>
      <c r="B44" s="85" t="str">
        <f t="shared" si="1"/>
        <v>Sonntag</v>
      </c>
      <c r="C44" s="87">
        <v>0.35416666666666669</v>
      </c>
      <c r="D44" s="213">
        <f t="array" ref="D44">IF(AND(COUNT(SEARCH(Sonderarbeit,$N44,1))&gt;=1,$B44=Ref!$A$7),Ref!$K$1,Ref!$K$2)</f>
        <v>0.70833333333333337</v>
      </c>
      <c r="E44" s="213">
        <f t="array" ref="E44">IF(AND(COUNT(SEARCH(Sonderarbeit,$N44))&gt;=1,$B44=Ref!$A$7),,Ref!$K$3)</f>
        <v>2.0833333333333332E-2</v>
      </c>
      <c r="F44" s="270">
        <f t="shared" si="2"/>
        <v>0.33333333333333337</v>
      </c>
      <c r="G44" s="271"/>
      <c r="H44" s="88">
        <f t="shared" si="3"/>
        <v>0</v>
      </c>
      <c r="I44" s="89" t="str">
        <f>IF(AND(F44&gt;H44,OR(AND(OR($B44&lt;&gt;Ref!$A$7,$H$56&gt;0),OR($B44&lt;&gt;Ref!$A$8,$H$57&gt;0)),COUNT(SEARCH(Sonderarbeit,$N44))&gt;=1),ISNONTEXT(C44),C44&lt;&gt;""),F44-H44,"")</f>
        <v/>
      </c>
      <c r="J44" s="90" t="str">
        <f>IF(OR(AND(F44&lt;H44,OR(AND(OR($B44&lt;&gt;Ref!$A$7,$H$56&gt;0),OR($B44&lt;&gt;Ref!$A$8,$H$57&gt;0)),COUNT(SEARCH(Sonderarbeit,$N44))&gt;=1)),C44="Ausgleich"),H44-F44,"")</f>
        <v/>
      </c>
      <c r="K44" s="91" t="str">
        <f>IF(AND(B44=Ref!$A$8,SUM(I38:I44)&lt;SUM(J38:J44)),"-","")</f>
        <v/>
      </c>
      <c r="L44" s="92">
        <f>IF(B44=Ref!$A$8,ABS(SUM(I38:I44)-SUM(J38:J44)),"")</f>
        <v>2.083333333333337E-2</v>
      </c>
    </row>
    <row r="45" spans="1:14" ht="17.399999999999999" customHeight="1" x14ac:dyDescent="0.55000000000000004">
      <c r="A45" s="86">
        <v>27</v>
      </c>
      <c r="B45" s="85" t="str">
        <f t="shared" si="1"/>
        <v>Montag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0.33333333333333331</v>
      </c>
      <c r="I45" s="89" t="str">
        <f>IF(AND(F45&gt;H45,OR(AND(OR($B45&lt;&gt;Ref!$A$7,$H$56&gt;0),OR($B45&lt;&gt;Ref!$A$8,$H$57&gt;0)),COUNT(SEARCH(Sonderarbeit,$N45))&gt;=1),ISNONTEXT(C45),C45&lt;&gt;""),F45-H45,"")</f>
        <v/>
      </c>
      <c r="J45" s="90" t="str">
        <f>IF(OR(AND(F45&lt;H45,OR(AND(OR($B45&lt;&gt;Ref!$A$7,$H$56&gt;0),OR($B45&lt;&gt;Ref!$A$8,$H$57&gt;0)),COUNT(SEARCH(Sonderarbeit,$N45))&gt;=1)),C45="Ausgleich"),H45-F45,"")</f>
        <v/>
      </c>
      <c r="K45" s="91" t="str">
        <f>IF(AND(B45=Ref!$A$8,SUM(I39:I45)&lt;SUM(J39:J45)),"-","")</f>
        <v/>
      </c>
      <c r="L45" s="92" t="str">
        <f>IF(B45=Ref!$A$8,ABS(SUM(I39:I45)-SUM(J39:J45)),"")</f>
        <v/>
      </c>
    </row>
    <row r="46" spans="1:14" ht="17.399999999999999" customHeight="1" x14ac:dyDescent="0.55000000000000004">
      <c r="A46" s="86">
        <v>28</v>
      </c>
      <c r="B46" s="85" t="str">
        <f t="shared" si="1"/>
        <v>Dienstag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0.33333333333333331</v>
      </c>
      <c r="I46" s="89" t="str">
        <f>IF(AND(F46&gt;H46,OR(AND(OR($B46&lt;&gt;Ref!$A$7,$H$56&gt;0),OR($B46&lt;&gt;Ref!$A$8,$H$57&gt;0)),COUNT(SEARCH(Sonderarbeit,$N46))&gt;=1),ISNONTEXT(C46),C46&lt;&gt;""),F46-H46,"")</f>
        <v/>
      </c>
      <c r="J46" s="90" t="str">
        <f>IF(OR(AND(F46&lt;H46,OR(AND(OR($B46&lt;&gt;Ref!$A$7,$H$56&gt;0),OR($B46&lt;&gt;Ref!$A$8,$H$57&gt;0)),COUNT(SEARCH(Sonderarbeit,$N46))&gt;=1)),C46="Ausgleich"),H46-F46,"")</f>
        <v/>
      </c>
      <c r="K46" s="91" t="str">
        <f>IF(AND(B46=Ref!$A$8,SUM(I40:I46)&lt;SUM(J40:J46)),"-","")</f>
        <v/>
      </c>
      <c r="L46" s="92" t="str">
        <f>IF(B46=Ref!$A$8,ABS(SUM(I40:I46)-SUM(J40:J46)),"")</f>
        <v/>
      </c>
    </row>
    <row r="47" spans="1:14" ht="17.399999999999999" customHeight="1" x14ac:dyDescent="0.55000000000000004">
      <c r="A47" s="86">
        <v>29</v>
      </c>
      <c r="B47" s="85" t="str">
        <f t="shared" si="1"/>
        <v>Mittwoch</v>
      </c>
      <c r="C47" s="87">
        <v>0.35416666666666669</v>
      </c>
      <c r="D47" s="213">
        <f t="array" ref="D47">IF(AND(COUNT(SEARCH(Sonderarbeit,$N47,1))&gt;=1,$B47=Ref!$A$7),Ref!$K$1,Ref!$K$2)</f>
        <v>0.70833333333333337</v>
      </c>
      <c r="E47" s="213">
        <f t="array" ref="E47">IF(AND(COUNT(SEARCH(Sonderarbeit,$N47))&gt;=1,$B47=Ref!$A$7),,Ref!$K$3)</f>
        <v>2.0833333333333332E-2</v>
      </c>
      <c r="F47" s="270">
        <f t="shared" si="2"/>
        <v>0.33333333333333337</v>
      </c>
      <c r="G47" s="271"/>
      <c r="H47" s="88">
        <f t="shared" si="3"/>
        <v>0.33333333333333331</v>
      </c>
      <c r="I47" s="89" t="str">
        <f>IF(AND(F47&gt;H47,OR(AND(OR($B47&lt;&gt;Ref!$A$7,$H$56&gt;0),OR($B47&lt;&gt;Ref!$A$8,$H$57&gt;0)),COUNT(SEARCH(Sonderarbeit,$N47))&gt;=1),ISNONTEXT(C47),C47&lt;&gt;""),F47-H47,"")</f>
        <v/>
      </c>
      <c r="J47" s="90" t="str">
        <f>IF(OR(AND(F47&lt;H47,OR(AND(OR($B47&lt;&gt;Ref!$A$7,$H$56&gt;0),OR($B47&lt;&gt;Ref!$A$8,$H$57&gt;0)),COUNT(SEARCH(Sonderarbeit,$N47))&gt;=1)),C47="Ausgleich"),H47-F47,"")</f>
        <v/>
      </c>
      <c r="K47" s="91" t="str">
        <f>IF(AND(B47=Ref!$A$8,SUM(I41:I47)&lt;SUM(J41:J47)),"-","")</f>
        <v/>
      </c>
      <c r="L47" s="92" t="str">
        <f>IF(B47=Ref!$A$8,ABS(SUM(I41:I47)-SUM(J41:J47)),"")</f>
        <v/>
      </c>
    </row>
    <row r="48" spans="1:14" ht="17.399999999999999" customHeight="1" x14ac:dyDescent="0.55000000000000004">
      <c r="A48" s="86">
        <v>30</v>
      </c>
      <c r="B48" s="85" t="str">
        <f t="shared" si="1"/>
        <v>Donnerstag</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0.33333333333333331</v>
      </c>
      <c r="I48" s="89" t="str">
        <f>IF(AND(F48&gt;H48,OR(AND(OR($B48&lt;&gt;Ref!$A$7,$H$56&gt;0),OR($B48&lt;&gt;Ref!$A$8,$H$57&gt;0)),COUNT(SEARCH(Sonderarbeit,$N48))&gt;=1),ISNONTEXT(C48),C48&lt;&gt;""),F48-H48,"")</f>
        <v/>
      </c>
      <c r="J48" s="90" t="str">
        <f>IF(OR(AND(F48&lt;H48,OR(AND(OR($B48&lt;&gt;Ref!$A$7,$H$56&gt;0),OR($B48&lt;&gt;Ref!$A$8,$H$57&gt;0)),COUNT(SEARCH(Sonderarbeit,$N48))&gt;=1)),C48="Ausgleich"),H48-F48,"")</f>
        <v/>
      </c>
      <c r="K48" s="91" t="str">
        <f>IF(AND(B48=Ref!$A$8,SUM(I42:I48)&lt;SUM(J42:J48)),"-","")</f>
        <v/>
      </c>
      <c r="L48" s="92" t="str">
        <f>IF(B48=Ref!$A$8,ABS(SUM(I42:I48)-SUM(J42:J48)),"")</f>
        <v/>
      </c>
    </row>
    <row r="49" spans="1:14" ht="17.399999999999999" customHeight="1" x14ac:dyDescent="0.55000000000000004">
      <c r="A49" s="86">
        <v>31</v>
      </c>
      <c r="B49" s="85" t="str">
        <f t="shared" si="1"/>
        <v>Freitag</v>
      </c>
      <c r="C49" s="87">
        <v>0.35416666666666669</v>
      </c>
      <c r="D49" s="213">
        <f t="array" ref="D49">IF(AND(COUNT(SEARCH(Sonderarbeit,$N49,1))&gt;=1,$B49=Ref!$A$7),Ref!$K$1,Ref!$K$2)</f>
        <v>0.70833333333333337</v>
      </c>
      <c r="E49" s="213">
        <f t="array" ref="E49">IF(AND(COUNT(SEARCH(Sonderarbeit,$N49))&gt;=1,$B49=Ref!$A$7),,Ref!$K$3)</f>
        <v>2.0833333333333332E-2</v>
      </c>
      <c r="F49" s="270">
        <f t="shared" si="2"/>
        <v>0.33333333333333337</v>
      </c>
      <c r="G49" s="271"/>
      <c r="H49" s="88">
        <f t="shared" si="3"/>
        <v>0.3125</v>
      </c>
      <c r="I49" s="89">
        <f>IF(AND(F49&gt;H49,OR(AND(OR($B49&lt;&gt;Ref!$A$7,$H$56&gt;0),OR($B49&lt;&gt;Ref!$A$8,$H$57&gt;0)),COUNT(SEARCH(Sonderarbeit,$N49))&gt;=1),ISNONTEXT(C49),C49&lt;&gt;""),F49-H49,"")</f>
        <v>2.083333333333337E-2</v>
      </c>
      <c r="J49" s="90" t="str">
        <f>IF(OR(AND(F49&lt;H49,OR(AND(OR($B49&lt;&gt;Ref!$A$7,$H$56&gt;0),OR($B49&lt;&gt;Ref!$A$8,$H$57&gt;0)),COUNT(SEARCH(Sonderarbeit,$N49))&gt;=1)),C49="Ausgleich"),H49-F49,"")</f>
        <v/>
      </c>
      <c r="K49" s="97" t="str">
        <f ca="1">IF(SUM(INDIRECT("I"&amp;ROW()-WEEKDAY(DATE(J$11,MONTH(I$11),A49),3)):I49) &lt; SUM(INDIRECT("j"&amp;ROW()-WEEKDAY(DATE(J$11,MONTH(I$11),A49),3)):J49),"-","")</f>
        <v/>
      </c>
      <c r="L49" s="96">
        <f ca="1">ABS(SUM(INDIRECT("I"&amp;ROW()-WEEKDAY(DATE(J$11,MONTH(I$11),A49),3)):I49)-SUM(INDIRECT("j"&amp;ROW()-WEEKDAY(DATE(J$11,MONTH(I$11),A49))):J49))</f>
        <v>2.083333333333337E-2</v>
      </c>
      <c r="N49" s="219"/>
    </row>
    <row r="50" spans="1:14" s="20" customFormat="1" ht="17.399999999999999" customHeight="1" thickBot="1" x14ac:dyDescent="0.6">
      <c r="A50" s="98" t="s">
        <v>47</v>
      </c>
      <c r="B50" s="99"/>
      <c r="C50" s="100"/>
      <c r="D50" s="101"/>
      <c r="E50" s="101"/>
      <c r="F50" s="101"/>
      <c r="G50" s="101"/>
      <c r="H50" s="165"/>
      <c r="I50" s="102">
        <v>0</v>
      </c>
      <c r="J50" s="102">
        <v>0</v>
      </c>
      <c r="K50" s="103"/>
      <c r="L50" s="104"/>
      <c r="M50" s="183"/>
      <c r="N50" s="181"/>
    </row>
    <row r="51" spans="1:14" x14ac:dyDescent="0.3">
      <c r="A51" s="272" t="s">
        <v>3</v>
      </c>
      <c r="B51" s="272"/>
      <c r="C51" s="272"/>
      <c r="D51" s="272"/>
      <c r="E51" s="105"/>
      <c r="F51" s="105"/>
      <c r="G51" s="105"/>
      <c r="H51" s="166">
        <f>Mantelbogen!D19</f>
        <v>0.33333333333333331</v>
      </c>
      <c r="I51" s="273">
        <f>SUM(I17:I50)</f>
        <v>0.10416666666666685</v>
      </c>
      <c r="J51" s="275">
        <f>SUM(J17:J50)</f>
        <v>0</v>
      </c>
      <c r="K51" s="252" t="str">
        <f ca="1">IF(SUMIF(K19:K49,"",L19:L49)&lt;SUMIF(K19:K49,"-",L19:L49),"-","")</f>
        <v/>
      </c>
      <c r="L51" s="254">
        <f ca="1">ABS(SUMIF(K19:K49,"",L19:L49)-SUMIF(K19:K49,"-",L19:L49))</f>
        <v>0.10416666666666685</v>
      </c>
    </row>
    <row r="52" spans="1:14" ht="13.5" thickBot="1" x14ac:dyDescent="0.35">
      <c r="A52" s="258"/>
      <c r="B52" s="258"/>
      <c r="C52" s="258"/>
      <c r="D52" s="258"/>
      <c r="E52" s="105"/>
      <c r="F52" s="105"/>
      <c r="G52" s="106" t="s">
        <v>12</v>
      </c>
      <c r="H52" s="167">
        <f>Mantelbogen!D20</f>
        <v>0.33333333333333331</v>
      </c>
      <c r="I52" s="274"/>
      <c r="J52" s="276"/>
      <c r="K52" s="253"/>
      <c r="L52" s="255"/>
    </row>
    <row r="53" spans="1:14" x14ac:dyDescent="0.3">
      <c r="A53" s="258"/>
      <c r="B53" s="258"/>
      <c r="C53" s="258"/>
      <c r="D53" s="258"/>
      <c r="E53" s="105"/>
      <c r="F53" s="105"/>
      <c r="G53" s="107"/>
      <c r="H53" s="167">
        <f>Mantelbogen!D21</f>
        <v>0.33333333333333331</v>
      </c>
      <c r="I53" s="268">
        <f>IF(I51&gt;J51,I51-J51,0)</f>
        <v>0.10416666666666685</v>
      </c>
      <c r="J53" s="266" t="str">
        <f>IF(J51&gt;I51,J51-I51,"")</f>
        <v/>
      </c>
      <c r="K53" s="108"/>
      <c r="L53" s="108"/>
    </row>
    <row r="54" spans="1:14" ht="13.5" thickBot="1" x14ac:dyDescent="0.35">
      <c r="A54" s="265" t="s">
        <v>15</v>
      </c>
      <c r="B54" s="265"/>
      <c r="C54" s="265"/>
      <c r="D54" s="265"/>
      <c r="E54" s="109"/>
      <c r="F54" s="109"/>
      <c r="G54" s="106" t="s">
        <v>13</v>
      </c>
      <c r="H54" s="167">
        <f>Mantelbogen!D22</f>
        <v>0.33333333333333331</v>
      </c>
      <c r="I54" s="269"/>
      <c r="J54" s="267"/>
      <c r="K54" s="108"/>
      <c r="L54" s="108"/>
    </row>
    <row r="55" spans="1:14" ht="13.5" thickBot="1" x14ac:dyDescent="0.35">
      <c r="A55" s="257" t="s">
        <v>4</v>
      </c>
      <c r="B55" s="257"/>
      <c r="C55" s="257"/>
      <c r="D55" s="257"/>
      <c r="E55" s="109"/>
      <c r="F55" s="109"/>
      <c r="G55" s="109"/>
      <c r="H55" s="167">
        <f>Mantelbogen!D23</f>
        <v>0.3125</v>
      </c>
      <c r="I55" s="109"/>
      <c r="J55" s="109"/>
      <c r="K55" s="110"/>
      <c r="L55" s="110"/>
    </row>
    <row r="56" spans="1:14" ht="13.25" customHeight="1" x14ac:dyDescent="0.3">
      <c r="A56" s="258"/>
      <c r="B56" s="258"/>
      <c r="C56" s="258"/>
      <c r="D56" s="258"/>
      <c r="E56" s="111" t="str">
        <f>Mantelbogen!E34</f>
        <v xml:space="preserve"> </v>
      </c>
      <c r="F56" s="112"/>
      <c r="G56" s="113" t="str">
        <f>IF(E56=" ", " ", IF(Mantelbogen!D26=I11,IF(Mantelbogen!C29 &gt; 0.0001, Mantelbogen!C29+Mantelbogen!C30, 0), 0))</f>
        <v xml:space="preserve"> </v>
      </c>
      <c r="H56" s="168">
        <v>0</v>
      </c>
      <c r="I56" s="259" t="s">
        <v>123</v>
      </c>
      <c r="J56" s="260"/>
      <c r="K56" s="110"/>
      <c r="L56" s="110"/>
    </row>
    <row r="57" spans="1:14" ht="13.5" thickBot="1" x14ac:dyDescent="0.35">
      <c r="A57" s="258"/>
      <c r="B57" s="258"/>
      <c r="C57" s="258"/>
      <c r="D57" s="258"/>
      <c r="E57" s="111" t="str">
        <f>Mantelbogen!E35</f>
        <v xml:space="preserve"> </v>
      </c>
      <c r="F57" s="113"/>
      <c r="G57" s="113" t="str">
        <f>IF(E56=" ", " ", -COUNTIF(C19:C49, "Urlaub*" ))</f>
        <v xml:space="preserve"> </v>
      </c>
      <c r="H57" s="169">
        <v>0</v>
      </c>
      <c r="I57" s="261"/>
      <c r="J57" s="262"/>
      <c r="K57" s="110"/>
      <c r="L57" s="114"/>
      <c r="M57" s="186"/>
    </row>
    <row r="58" spans="1:14" ht="22" customHeight="1" thickBot="1" x14ac:dyDescent="0.35">
      <c r="A58" s="265" t="s">
        <v>10</v>
      </c>
      <c r="B58" s="265"/>
      <c r="C58" s="265"/>
      <c r="D58" s="265"/>
      <c r="E58" s="111" t="str">
        <f>Mantelbogen!E37</f>
        <v xml:space="preserve"> </v>
      </c>
      <c r="F58" s="115"/>
      <c r="G58" s="116" t="str">
        <f>IF(E56=" ", " ", IF(Mantelbogen!C29 &gt; 0.0001, G56+G57, 0))</f>
        <v xml:space="preserve"> </v>
      </c>
      <c r="H58" s="195">
        <f>SUM(H51:H57)</f>
        <v>1.6458333333333333</v>
      </c>
      <c r="I58" s="263"/>
      <c r="J58" s="264"/>
      <c r="K58" s="105"/>
      <c r="L58" s="118" t="str">
        <f>Mantelbogen!D47</f>
        <v>10.01.2024  HAdW / G. Wolff</v>
      </c>
      <c r="M58" s="186"/>
    </row>
    <row r="59" spans="1:14" x14ac:dyDescent="0.3">
      <c r="F59" s="22"/>
    </row>
    <row r="60" spans="1:14" x14ac:dyDescent="0.3">
      <c r="G60" s="256"/>
      <c r="H60" s="256"/>
      <c r="I60" s="256"/>
      <c r="J60" s="21"/>
    </row>
    <row r="62" spans="1:14" x14ac:dyDescent="0.3">
      <c r="N62" s="215"/>
    </row>
  </sheetData>
  <sheetProtection password="9BC9" sheet="1" objects="1" scenarios="1"/>
  <mergeCells count="64">
    <mergeCell ref="G1:J7"/>
    <mergeCell ref="A4:E6"/>
    <mergeCell ref="H15:H18"/>
    <mergeCell ref="C15:C18"/>
    <mergeCell ref="D15:D18"/>
    <mergeCell ref="E15:E18"/>
    <mergeCell ref="F15:G18"/>
    <mergeCell ref="I15:J15"/>
    <mergeCell ref="I17:I18"/>
    <mergeCell ref="J17:J18"/>
    <mergeCell ref="A3:E3"/>
    <mergeCell ref="A1:E2"/>
    <mergeCell ref="A11:B11"/>
    <mergeCell ref="A13:B13"/>
    <mergeCell ref="A15:A18"/>
    <mergeCell ref="B15:B18"/>
    <mergeCell ref="F19:G19"/>
    <mergeCell ref="F20:G20"/>
    <mergeCell ref="F22:G22"/>
    <mergeCell ref="F23:G23"/>
    <mergeCell ref="F21:G21"/>
    <mergeCell ref="F26:G26"/>
    <mergeCell ref="F24:G24"/>
    <mergeCell ref="F25:G25"/>
    <mergeCell ref="F37:G37"/>
    <mergeCell ref="F38:G38"/>
    <mergeCell ref="F27:G27"/>
    <mergeCell ref="F31:G31"/>
    <mergeCell ref="F28:G28"/>
    <mergeCell ref="F29:G29"/>
    <mergeCell ref="F30:G30"/>
    <mergeCell ref="F39:G39"/>
    <mergeCell ref="F32:G32"/>
    <mergeCell ref="F33:G33"/>
    <mergeCell ref="F34:G34"/>
    <mergeCell ref="F35:G35"/>
    <mergeCell ref="F36:G36"/>
    <mergeCell ref="F44:G44"/>
    <mergeCell ref="F45:G45"/>
    <mergeCell ref="F46:G46"/>
    <mergeCell ref="F47:G47"/>
    <mergeCell ref="F40:G40"/>
    <mergeCell ref="F41:G41"/>
    <mergeCell ref="F42:G42"/>
    <mergeCell ref="F43:G43"/>
    <mergeCell ref="J53:J54"/>
    <mergeCell ref="I53:I54"/>
    <mergeCell ref="F48:G48"/>
    <mergeCell ref="F49:G49"/>
    <mergeCell ref="A51:D51"/>
    <mergeCell ref="I51:I52"/>
    <mergeCell ref="J51:J52"/>
    <mergeCell ref="A52:D53"/>
    <mergeCell ref="A54:D54"/>
    <mergeCell ref="G60:I60"/>
    <mergeCell ref="A55:D55"/>
    <mergeCell ref="A56:D57"/>
    <mergeCell ref="I56:J58"/>
    <mergeCell ref="A58:D58"/>
    <mergeCell ref="M15:M16"/>
    <mergeCell ref="K15:L16"/>
    <mergeCell ref="K17:L18"/>
    <mergeCell ref="K51:K52"/>
    <mergeCell ref="L51:L52"/>
  </mergeCells>
  <phoneticPr fontId="0" type="noConversion"/>
  <conditionalFormatting sqref="C19:C49">
    <cfRule type="expression" dxfId="131" priority="11">
      <formula>ISTEXT($C19)</formula>
    </cfRule>
  </conditionalFormatting>
  <conditionalFormatting sqref="F19:F49">
    <cfRule type="expression" dxfId="130" priority="20">
      <formula>AND(ISNONTEXT($C19),$F19 &gt; 0.666667)</formula>
    </cfRule>
  </conditionalFormatting>
  <conditionalFormatting sqref="A19:L49">
    <cfRule type="expression" dxfId="129" priority="9">
      <formula>AND(ISTEXT($C19),$C19&lt;&gt;"Kinderkrankentag",$C19&lt;&gt;"Urlaub",$C19&lt;&gt;"Krank",$C19&lt;&gt;"Ausgleich")</formula>
    </cfRule>
  </conditionalFormatting>
  <conditionalFormatting sqref="D19:H49">
    <cfRule type="expression" dxfId="128" priority="6">
      <formula>AND(ISTEXT($C19),OR($C19="Kinderkrankentag",$C19="Urlaub",$C19="Krank",$C19="Ausgleich"))</formula>
    </cfRule>
  </conditionalFormatting>
  <conditionalFormatting sqref="A19:A49 C19:L49">
    <cfRule type="expression" dxfId="127" priority="1">
      <formula>COUNT(SEARCH(Sonderarbeit,$N19))&gt;=1</formula>
    </cfRule>
  </conditionalFormatting>
  <conditionalFormatting sqref="D19:J49">
    <cfRule type="expression" dxfId="126" priority="4">
      <formula>AND(ISTEXT($C19),$C19&lt;&gt;"Kinderkrankentag",$C19&lt;&gt;"Urlaub",$C19&lt;&gt;"Krank",$C19&lt;&gt;"Ausgleich")</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DC07BA9C-C7D7-44B8-B73F-23A15A8F1C20}">
      <formula1>$A$4="Arbeitszeitblatt"</formula1>
    </dataValidation>
  </dataValidations>
  <printOptions horizontalCentered="1" verticalCentered="1"/>
  <pageMargins left="1.0236220472440944" right="0.10616666666666667" top="0.23622047244094491" bottom="0.19685039370078741" header="0.15748031496062992" footer="0.15748031496062992"/>
  <pageSetup paperSize="9" scale="81" orientation="portrait" horizontalDpi="1200" verticalDpi="1200" r:id="rId1"/>
  <headerFooter alignWithMargins="0"/>
  <ignoredErrors>
    <ignoredError sqref="N35"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00000000-000E-0000-0100-00000E000000}">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 xmlns:xm="http://schemas.microsoft.com/office/excel/2006/main">
          <x14:cfRule type="expression" priority="10" id="{00000000-000E-0000-0100-000001000000}">
            <xm:f>OR(AND($B19=Ref!$A$7,$H$56=0), AND($B19=Ref!$A$8,$H$57=0), NOT( ISERROR(FIND("feiertag",LOWER($C19)) ) ) )</xm:f>
            <x14:dxf>
              <fill>
                <patternFill patternType="solid">
                  <bgColor rgb="FF99CCFF"/>
                </patternFill>
              </fill>
            </x14:dxf>
          </x14:cfRule>
          <xm:sqref>A19:L49</xm:sqref>
        </x14:conditionalFormatting>
        <x14:conditionalFormatting xmlns:xm="http://schemas.microsoft.com/office/excel/2006/main">
          <x14:cfRule type="expression" priority="12" id="{00000000-000E-0000-0100-000003000000}">
            <xm:f>OR(AND($B19=Ref!$A$7, $H$56&lt;0.00001),AND($B19=Ref!$A$8, $H$57&lt;0.00001))</xm:f>
            <x14:dxf>
              <font>
                <color rgb="FF99CCFF"/>
              </font>
              <fill>
                <patternFill>
                  <bgColor rgb="FF99CCFF"/>
                </patternFill>
              </fill>
            </x14:dxf>
          </x14:cfRule>
          <xm:sqref>C19:J49</xm:sqref>
        </x14:conditionalFormatting>
        <x14:conditionalFormatting xmlns:xm="http://schemas.microsoft.com/office/excel/2006/main">
          <x14:cfRule type="expression" priority="18" id="{00000000-000E-0000-0100-000004000000}">
            <xm:f>AND($B19=Ref!$A$7, $H$56&gt;0.00001)</xm:f>
            <x14:dxf>
              <font>
                <b val="0"/>
                <i val="0"/>
                <color theme="1"/>
              </font>
              <fill>
                <patternFill patternType="none">
                  <bgColor auto="1"/>
                </patternFill>
              </fill>
            </x14:dxf>
          </x14:cfRule>
          <x14:cfRule type="expression" priority="19" id="{00000000-000E-0000-0100-00000A000000}">
            <xm:f>AND($B19=Ref!$A$8, $H$57&gt;0.00001)</xm:f>
            <x14:dxf>
              <font>
                <b val="0"/>
                <i val="0"/>
              </font>
              <fill>
                <patternFill patternType="none">
                  <bgColor auto="1"/>
                </patternFill>
              </fill>
            </x14:dxf>
          </x14:cfRule>
          <xm:sqref>C19:I49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09A7F06A-4FE2-4E21-903B-C3D04056B3BB}">
          <x14:formula1>
            <xm:f>NOT(OFFSET(C19,0,2-COLUMN(C19))=Ref!$A$7)</xm:f>
          </x14:formula1>
          <xm:sqref>C19:E49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N59"/>
  <sheetViews>
    <sheetView zoomScaleNormal="100" workbookViewId="0">
      <selection activeCell="A4" sqref="A4:E6"/>
    </sheetView>
  </sheetViews>
  <sheetFormatPr defaultColWidth="11.54296875" defaultRowHeight="13" x14ac:dyDescent="0.3"/>
  <cols>
    <col min="1" max="1" width="5.54296875" style="4" customWidth="1"/>
    <col min="2" max="2" width="9.08984375" style="5" customWidth="1"/>
    <col min="3" max="3" width="9.6328125" style="5" customWidth="1"/>
    <col min="4" max="4" width="9.1796875" style="5" customWidth="1"/>
    <col min="5" max="5" width="8.54296875" style="2" customWidth="1"/>
    <col min="6" max="6" width="8.08984375" style="2" customWidth="1"/>
    <col min="7" max="7" width="3.90625" style="2" customWidth="1"/>
    <col min="8" max="8" width="8.453125" style="2" customWidth="1"/>
    <col min="9" max="9" width="9.81640625" style="2" customWidth="1"/>
    <col min="10" max="10" width="10.36328125" style="2" customWidth="1"/>
    <col min="11" max="11" width="2.90625" style="2" customWidth="1"/>
    <col min="12" max="12" width="8.90625" style="2" customWidth="1"/>
    <col min="13" max="13" width="16.36328125" style="183" customWidth="1"/>
    <col min="14" max="14" width="18.1796875" style="183" customWidth="1"/>
    <col min="15" max="16384" width="11.54296875" style="2"/>
  </cols>
  <sheetData>
    <row r="1" spans="1:14" ht="15.5" x14ac:dyDescent="0.35">
      <c r="A1" s="289" t="s">
        <v>51</v>
      </c>
      <c r="B1" s="289"/>
      <c r="C1" s="289"/>
      <c r="D1" s="289"/>
      <c r="E1" s="289"/>
      <c r="F1" s="155"/>
      <c r="G1" s="277" t="s">
        <v>9</v>
      </c>
      <c r="H1" s="277"/>
      <c r="I1" s="277"/>
      <c r="J1" s="277"/>
      <c r="K1" s="105"/>
      <c r="L1" s="105"/>
    </row>
    <row r="2" spans="1:14" ht="15.5" x14ac:dyDescent="0.35">
      <c r="A2" s="289"/>
      <c r="B2" s="289"/>
      <c r="C2" s="289"/>
      <c r="D2" s="289"/>
      <c r="E2" s="289"/>
      <c r="F2" s="156"/>
      <c r="G2" s="277"/>
      <c r="H2" s="277"/>
      <c r="I2" s="277"/>
      <c r="J2" s="277"/>
      <c r="K2" s="105"/>
      <c r="L2" s="105"/>
    </row>
    <row r="3" spans="1:14" x14ac:dyDescent="0.3">
      <c r="A3" s="288" t="s">
        <v>11</v>
      </c>
      <c r="B3" s="288"/>
      <c r="C3" s="288"/>
      <c r="D3" s="288"/>
      <c r="E3" s="288"/>
      <c r="F3" s="105"/>
      <c r="G3" s="277"/>
      <c r="H3" s="277"/>
      <c r="I3" s="277"/>
      <c r="J3" s="277"/>
      <c r="K3" s="105"/>
      <c r="L3" s="105"/>
    </row>
    <row r="4" spans="1:14" ht="13.25" customHeight="1" x14ac:dyDescent="0.3">
      <c r="A4" s="278" t="s">
        <v>52</v>
      </c>
      <c r="B4" s="278"/>
      <c r="C4" s="278"/>
      <c r="D4" s="278"/>
      <c r="E4" s="278"/>
      <c r="F4" s="157"/>
      <c r="G4" s="277"/>
      <c r="H4" s="277"/>
      <c r="I4" s="277"/>
      <c r="J4" s="277"/>
      <c r="K4" s="105"/>
      <c r="L4" s="105"/>
    </row>
    <row r="5" spans="1:14" ht="6" customHeight="1" x14ac:dyDescent="0.3">
      <c r="A5" s="278"/>
      <c r="B5" s="278"/>
      <c r="C5" s="278"/>
      <c r="D5" s="278"/>
      <c r="E5" s="278"/>
      <c r="F5" s="157"/>
      <c r="G5" s="277"/>
      <c r="H5" s="277"/>
      <c r="I5" s="277"/>
      <c r="J5" s="277"/>
      <c r="K5" s="105"/>
      <c r="L5" s="105"/>
    </row>
    <row r="6" spans="1:14" ht="13.25" customHeight="1" x14ac:dyDescent="0.3">
      <c r="A6" s="278"/>
      <c r="B6" s="278"/>
      <c r="C6" s="278"/>
      <c r="D6" s="278"/>
      <c r="E6" s="278"/>
      <c r="F6" s="157"/>
      <c r="G6" s="277"/>
      <c r="H6" s="277"/>
      <c r="I6" s="277"/>
      <c r="J6" s="277"/>
      <c r="K6" s="105"/>
      <c r="L6" s="105"/>
    </row>
    <row r="7" spans="1:14" ht="13.25" customHeight="1" x14ac:dyDescent="0.3">
      <c r="A7" s="157"/>
      <c r="B7" s="157"/>
      <c r="C7" s="157"/>
      <c r="D7" s="157"/>
      <c r="E7" s="157"/>
      <c r="F7" s="157"/>
      <c r="G7" s="277"/>
      <c r="H7" s="277"/>
      <c r="I7" s="277"/>
      <c r="J7" s="277"/>
      <c r="K7" s="105"/>
      <c r="L7" s="105"/>
    </row>
    <row r="8" spans="1:14" ht="6" customHeight="1" thickBot="1" x14ac:dyDescent="0.35">
      <c r="A8" s="158"/>
      <c r="B8" s="159"/>
      <c r="C8" s="159"/>
      <c r="D8" s="159"/>
      <c r="E8" s="160"/>
      <c r="F8" s="160"/>
      <c r="G8" s="160"/>
      <c r="H8" s="121"/>
      <c r="I8" s="161"/>
      <c r="J8" s="161"/>
      <c r="K8" s="162"/>
      <c r="L8" s="163"/>
    </row>
    <row r="9" spans="1:14" ht="6" customHeight="1" x14ac:dyDescent="0.3">
      <c r="A9" s="119"/>
      <c r="B9" s="120"/>
      <c r="C9" s="120"/>
      <c r="D9" s="120"/>
      <c r="E9" s="121"/>
      <c r="F9" s="121"/>
      <c r="G9" s="121"/>
      <c r="H9" s="164"/>
      <c r="I9" s="122"/>
      <c r="J9" s="122"/>
      <c r="K9" s="123"/>
      <c r="L9" s="124"/>
    </row>
    <row r="10" spans="1:14" x14ac:dyDescent="0.3">
      <c r="A10" s="119"/>
      <c r="B10" s="120"/>
      <c r="C10" s="120"/>
      <c r="D10" s="120"/>
      <c r="E10" s="121"/>
      <c r="F10" s="121"/>
      <c r="G10" s="121"/>
      <c r="H10" s="105"/>
      <c r="I10" s="122"/>
      <c r="J10" s="122"/>
      <c r="K10" s="123"/>
      <c r="L10" s="124"/>
    </row>
    <row r="11" spans="1:14" x14ac:dyDescent="0.3">
      <c r="A11" s="290" t="s">
        <v>6</v>
      </c>
      <c r="B11" s="290"/>
      <c r="C11" s="131" t="str">
        <f>Jan!C11</f>
        <v>ATHENE, Pallas</v>
      </c>
      <c r="D11" s="126"/>
      <c r="E11" s="127"/>
      <c r="F11" s="128"/>
      <c r="G11" s="128" t="s">
        <v>8</v>
      </c>
      <c r="H11" s="129"/>
      <c r="I11" s="130">
        <f>DATE(J11,2,1)</f>
        <v>45689</v>
      </c>
      <c r="J11" s="131">
        <f>Jan!J11</f>
        <v>2025</v>
      </c>
      <c r="K11" s="132"/>
      <c r="L11" s="133"/>
    </row>
    <row r="12" spans="1:14" x14ac:dyDescent="0.3">
      <c r="A12" s="134"/>
      <c r="B12" s="124"/>
      <c r="C12" s="135"/>
      <c r="D12" s="136"/>
      <c r="E12" s="128"/>
      <c r="F12" s="128"/>
      <c r="G12" s="121"/>
      <c r="H12" s="105"/>
      <c r="I12" s="122"/>
      <c r="J12" s="122"/>
      <c r="K12" s="123"/>
      <c r="L12" s="124"/>
    </row>
    <row r="13" spans="1:14" x14ac:dyDescent="0.3">
      <c r="A13" s="290" t="s">
        <v>7</v>
      </c>
      <c r="B13" s="290"/>
      <c r="C13" s="131" t="str">
        <f>Jan!C13</f>
        <v>Geschäftsstelle</v>
      </c>
      <c r="D13" s="139"/>
      <c r="E13" s="127"/>
      <c r="F13" s="140"/>
      <c r="G13" s="140"/>
      <c r="H13" s="129"/>
      <c r="I13" s="126"/>
      <c r="J13" s="127"/>
      <c r="K13" s="132"/>
      <c r="L13" s="133"/>
    </row>
    <row r="14" spans="1:14" ht="13.25" customHeight="1" thickBot="1" x14ac:dyDescent="0.35">
      <c r="A14" s="134"/>
      <c r="B14" s="141"/>
      <c r="C14" s="141"/>
      <c r="D14" s="141"/>
      <c r="E14" s="105"/>
      <c r="F14" s="105"/>
      <c r="G14" s="105"/>
      <c r="H14" s="105"/>
      <c r="I14" s="105"/>
      <c r="J14" s="105"/>
      <c r="K14" s="123"/>
      <c r="L14" s="124"/>
    </row>
    <row r="15" spans="1:14" ht="13.25" customHeight="1" x14ac:dyDescent="0.3">
      <c r="A15" s="295"/>
      <c r="B15" s="295" t="s">
        <v>72</v>
      </c>
      <c r="C15" s="295" t="s">
        <v>18</v>
      </c>
      <c r="D15" s="295" t="s">
        <v>19</v>
      </c>
      <c r="E15" s="295" t="s">
        <v>16</v>
      </c>
      <c r="F15" s="305" t="s">
        <v>122</v>
      </c>
      <c r="G15" s="306"/>
      <c r="H15" s="311" t="s">
        <v>45</v>
      </c>
      <c r="I15" s="299" t="s">
        <v>0</v>
      </c>
      <c r="J15" s="300"/>
      <c r="K15" s="244" t="s">
        <v>43</v>
      </c>
      <c r="L15" s="245"/>
    </row>
    <row r="16" spans="1:14" ht="13.75" customHeight="1" thickBot="1" x14ac:dyDescent="0.4">
      <c r="A16" s="296"/>
      <c r="B16" s="296"/>
      <c r="C16" s="296"/>
      <c r="D16" s="296"/>
      <c r="E16" s="296"/>
      <c r="F16" s="307"/>
      <c r="G16" s="308"/>
      <c r="H16" s="312"/>
      <c r="I16" s="84" t="s">
        <v>1</v>
      </c>
      <c r="J16" s="84" t="s">
        <v>2</v>
      </c>
      <c r="K16" s="246"/>
      <c r="L16" s="247"/>
      <c r="N16" s="184" t="str">
        <f>IF($I$17/$H$55 &gt; 1, CONCATENATE("Noch ",TEXT(($I$17-$H$55)*24,"#,0")), "" )</f>
        <v/>
      </c>
    </row>
    <row r="17" spans="1:14" ht="13" customHeight="1" x14ac:dyDescent="0.3">
      <c r="A17" s="296"/>
      <c r="B17" s="296"/>
      <c r="C17" s="296"/>
      <c r="D17" s="296"/>
      <c r="E17" s="296"/>
      <c r="F17" s="307"/>
      <c r="G17" s="308"/>
      <c r="H17" s="312"/>
      <c r="I17" s="301">
        <f>IF(Mantelbogen!D26=I11,Mantelbogen!C28,Jan!I53)</f>
        <v>0.10416666666666685</v>
      </c>
      <c r="J17" s="303" t="str">
        <f>IF(Mantelbogen!D26=I11,Mantelbogen!D28,Jan!J53)</f>
        <v/>
      </c>
      <c r="K17" s="248" t="str">
        <f>IF(I17/H55 &gt; 1, I17/H55, " " )</f>
        <v xml:space="preserve"> </v>
      </c>
      <c r="L17" s="291"/>
      <c r="N17" s="185" t="str">
        <f>IF($I$17/$H$55 &gt; 1, "Überstunden", " " )</f>
        <v xml:space="preserve"> </v>
      </c>
    </row>
    <row r="18" spans="1:14" ht="13.5" customHeight="1" thickBot="1" x14ac:dyDescent="0.35">
      <c r="A18" s="298"/>
      <c r="B18" s="297"/>
      <c r="C18" s="297"/>
      <c r="D18" s="297"/>
      <c r="E18" s="297"/>
      <c r="F18" s="309"/>
      <c r="G18" s="310"/>
      <c r="H18" s="313"/>
      <c r="I18" s="302"/>
      <c r="J18" s="304"/>
      <c r="K18" s="292"/>
      <c r="L18" s="293"/>
      <c r="N18" s="185" t="str">
        <f>IF($I$17/$H$55 &gt; 1, "bis 01.04. abzubauen !", " " )</f>
        <v xml:space="preserve"> </v>
      </c>
    </row>
    <row r="19" spans="1:14" ht="17.399999999999999" customHeight="1" x14ac:dyDescent="0.55000000000000004">
      <c r="A19" s="86">
        <v>1</v>
      </c>
      <c r="B19" s="85" t="str">
        <f t="shared" ref="B19:B46" si="0">TEXT(DATE(J$11,MONTH(I$11),A19),Textcode)</f>
        <v>Samstag</v>
      </c>
      <c r="C19" s="87">
        <v>0.35416666666666669</v>
      </c>
      <c r="D19" s="213">
        <f t="array" ref="D19">IF(AND(COUNT(SEARCH(Sonderarbeit,$N19,1))&gt;=1,$B19=Ref!$A$7),Ref!$K$1,Ref!$K$2)</f>
        <v>0.70833333333333337</v>
      </c>
      <c r="E19" s="213">
        <f t="array" ref="E19">IF(AND(COUNT(SEARCH(Sonderarbeit,$N19))&gt;=1,$B19=Ref!$A$7),,Ref!$K$3)</f>
        <v>2.0833333333333332E-2</v>
      </c>
      <c r="F19" s="270">
        <f>IF(ISTEXT(C19),,D19-C19-E19)</f>
        <v>0.33333333333333337</v>
      </c>
      <c r="G19" s="271"/>
      <c r="H19" s="88">
        <f t="shared" ref="H19:H46" si="1">IF(AND(ISTEXT(C19),ISERR(SEARCH("ausgleich",C19,1))),"",INDEX(H$48:H$55,WEEKDAY(DATE(J$11,MONTH(I$11),A19),2),1,1))</f>
        <v>0</v>
      </c>
      <c r="I19" s="89" t="str">
        <f>IF(AND(F19&gt;H19,OR(AND(OR($B19&lt;&gt;Ref!$A$7,$H$53&gt;0),OR($B19&lt;&gt;Ref!$A$8,$H$54&gt;0)),COUNT(SEARCH(Sonderarbeit,$N19))&gt;=1),ISNONTEXT(C19),C19&lt;&gt;""),F19-H19,"")</f>
        <v/>
      </c>
      <c r="J19" s="90" t="str">
        <f>IF(OR(AND(F19&lt;H19,OR(AND(OR($B19&lt;&gt;Ref!$A$7,$H$53&gt;0),OR($B19&lt;&gt;Ref!$A$8,$H$54&gt;0)),COUNT(SEARCH(Sonderarbeit,$N19))&gt;=1)),C19="Ausgleich"),H19-F19,"")</f>
        <v/>
      </c>
      <c r="K19" s="170" t="str">
        <f>IF(AND(B19=Ref!$A$8,SUM(I19:I19)&lt;SUM(J19:J19)),"-","")</f>
        <v/>
      </c>
      <c r="L19" s="171" t="str">
        <f>IF(B19=Ref!$A$8,ABS(SUM(I19:I19)-SUM(J19:J19)),"")</f>
        <v/>
      </c>
    </row>
    <row r="20" spans="1:14" ht="17.399999999999999" customHeight="1" x14ac:dyDescent="0.55000000000000004">
      <c r="A20" s="86">
        <v>2</v>
      </c>
      <c r="B20" s="85" t="str">
        <f t="shared" si="0"/>
        <v>Sonntag</v>
      </c>
      <c r="C20" s="87">
        <v>0.35416666666666669</v>
      </c>
      <c r="D20" s="213">
        <f t="array" ref="D20">IF(AND(COUNT(SEARCH(Sonderarbeit,$N20,1))&gt;=1,$B20=Ref!$A$7),Ref!$K$1,Ref!$K$2)</f>
        <v>0.70833333333333337</v>
      </c>
      <c r="E20" s="213">
        <f t="array" ref="E20">IF(AND(COUNT(SEARCH(Sonderarbeit,$N20))&gt;=1,$B20=Ref!$A$7),,Ref!$K$3)</f>
        <v>2.0833333333333332E-2</v>
      </c>
      <c r="F20" s="270">
        <f t="shared" ref="F20:F46" si="2">IF(ISTEXT(C20),,D20-C20-E20)</f>
        <v>0.33333333333333337</v>
      </c>
      <c r="G20" s="271"/>
      <c r="H20" s="88">
        <f t="shared" si="1"/>
        <v>0</v>
      </c>
      <c r="I20" s="89" t="str">
        <f>IF(AND(F20&gt;H20,OR(AND(OR($B20&lt;&gt;Ref!$A$7,$H$53&gt;0),OR($B20&lt;&gt;Ref!$A$8,$H$54&gt;0)),COUNT(SEARCH(Sonderarbeit,$N20))&gt;=1),ISNONTEXT(C20),C20&lt;&gt;""),F20-H20,"")</f>
        <v/>
      </c>
      <c r="J20" s="90" t="str">
        <f>IF(OR(AND(F20&lt;H20,OR(AND(OR($B20&lt;&gt;Ref!$A$7,$H$53&gt;0),OR($B20&lt;&gt;Ref!$A$8,$H$54&gt;0)),COUNT(SEARCH(Sonderarbeit,$N20))&gt;=1)),C20="Ausgleich"),H20-F20,"")</f>
        <v/>
      </c>
      <c r="K20" s="170" t="str">
        <f>IF(AND(B20=Ref!$A$8,SUM(I19:I20)&lt;SUM(J19:J20)),"-","")</f>
        <v/>
      </c>
      <c r="L20" s="92">
        <f>IF(B20=Ref!$A$8,ABS(SUM(I19:I20)-SUM(J19:J20)),"")</f>
        <v>0</v>
      </c>
    </row>
    <row r="21" spans="1:14" ht="17.399999999999999" customHeight="1" x14ac:dyDescent="0.55000000000000004">
      <c r="A21" s="93">
        <v>3</v>
      </c>
      <c r="B21" s="85" t="str">
        <f t="shared" si="0"/>
        <v>Montag</v>
      </c>
      <c r="C21" s="87">
        <v>0.35416666666666669</v>
      </c>
      <c r="D21" s="213">
        <f t="array" ref="D21">IF(AND(COUNT(SEARCH(Sonderarbeit,$N21,1))&gt;=1,$B21=Ref!$A$7),Ref!$K$1,Ref!$K$2)</f>
        <v>0.70833333333333337</v>
      </c>
      <c r="E21" s="213">
        <f t="array" ref="E21">IF(AND(COUNT(SEARCH(Sonderarbeit,$N21))&gt;=1,$B21=Ref!$A$7),,Ref!$K$3)</f>
        <v>2.0833333333333332E-2</v>
      </c>
      <c r="F21" s="270">
        <f t="shared" si="2"/>
        <v>0.33333333333333337</v>
      </c>
      <c r="G21" s="271"/>
      <c r="H21" s="88">
        <f t="shared" si="1"/>
        <v>0.33333333333333331</v>
      </c>
      <c r="I21" s="89" t="str">
        <f>IF(AND(F21&gt;H21,OR(AND(OR($B21&lt;&gt;Ref!$A$7,$H$53&gt;0),OR($B21&lt;&gt;Ref!$A$8,$H$54&gt;0)),COUNT(SEARCH(Sonderarbeit,$N21))&gt;=1),ISNONTEXT(C21),C21&lt;&gt;""),F21-H21,"")</f>
        <v/>
      </c>
      <c r="J21" s="90" t="str">
        <f>IF(OR(AND(F21&lt;H21,OR(AND(OR($B21&lt;&gt;Ref!$A$7,$H$53&gt;0),OR($B21&lt;&gt;Ref!$A$8,$H$54&gt;0)),COUNT(SEARCH(Sonderarbeit,$N21))&gt;=1)),C21="Ausgleich"),H21-F21,"")</f>
        <v/>
      </c>
      <c r="K21" s="170" t="str">
        <f>IF(AND(B21=Ref!$A$8,SUM(I19:I21)&lt;SUM(J19:J21)),"-","")</f>
        <v/>
      </c>
      <c r="L21" s="92" t="str">
        <f>IF(B21=Ref!$A$8,ABS(SUM(I19:I21)-SUM(J19:J21)),"")</f>
        <v/>
      </c>
    </row>
    <row r="22" spans="1:14" ht="17.399999999999999" customHeight="1" x14ac:dyDescent="0.55000000000000004">
      <c r="A22" s="94">
        <v>4</v>
      </c>
      <c r="B22" s="85" t="str">
        <f t="shared" si="0"/>
        <v>Dienstag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1"/>
        <v>0.33333333333333331</v>
      </c>
      <c r="I22" s="89" t="str">
        <f>IF(AND(F22&gt;H22,OR(AND(OR($B22&lt;&gt;Ref!$A$7,$H$53&gt;0),OR($B22&lt;&gt;Ref!$A$8,$H$54&gt;0)),COUNT(SEARCH(Sonderarbeit,$N22))&gt;=1),ISNONTEXT(C22),C22&lt;&gt;""),F22-H22,"")</f>
        <v/>
      </c>
      <c r="J22" s="90" t="str">
        <f>IF(OR(AND(F22&lt;H22,OR(AND(OR($B22&lt;&gt;Ref!$A$7,$H$53&gt;0),OR($B22&lt;&gt;Ref!$A$8,$H$54&gt;0)),COUNT(SEARCH(Sonderarbeit,$N22))&gt;=1)),C22="Ausgleich"),H22-F22,"")</f>
        <v/>
      </c>
      <c r="K22" s="170" t="str">
        <f>IF(AND(B22=Ref!$A$8,SUM(I19:I22)&lt;SUM(J19:J22)),"-","")</f>
        <v/>
      </c>
      <c r="L22" s="92" t="str">
        <f>IF(B22=Ref!$A$8,ABS(SUM(I19:I22)-SUM(J19:J22)),"")</f>
        <v/>
      </c>
    </row>
    <row r="23" spans="1:14" ht="17.399999999999999" customHeight="1" x14ac:dyDescent="0.55000000000000004">
      <c r="A23" s="94">
        <v>5</v>
      </c>
      <c r="B23" s="85" t="str">
        <f t="shared" si="0"/>
        <v>Mittwoch</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1"/>
        <v>0.33333333333333331</v>
      </c>
      <c r="I23" s="89" t="str">
        <f>IF(AND(F23&gt;H23,OR(AND(OR($B23&lt;&gt;Ref!$A$7,$H$53&gt;0),OR($B23&lt;&gt;Ref!$A$8,$H$54&gt;0)),COUNT(SEARCH(Sonderarbeit,$N23))&gt;=1),ISNONTEXT(C23),C23&lt;&gt;""),F23-H23,"")</f>
        <v/>
      </c>
      <c r="J23" s="90" t="str">
        <f>IF(OR(AND(F23&lt;H23,OR(AND(OR($B23&lt;&gt;Ref!$A$7,$H$53&gt;0),OR($B23&lt;&gt;Ref!$A$8,$H$54&gt;0)),COUNT(SEARCH(Sonderarbeit,$N23))&gt;=1)),C23="Ausgleich"),H23-F23,"")</f>
        <v/>
      </c>
      <c r="K23" s="170" t="str">
        <f>IF(AND(B23=Ref!$A$8,SUM(I19:I23)&lt;SUM(J19:J23)),"-","")</f>
        <v/>
      </c>
      <c r="L23" s="92" t="str">
        <f>IF(B23=Ref!$A$8,ABS(SUM(I19:I23)-SUM(J19:J23)),"")</f>
        <v/>
      </c>
    </row>
    <row r="24" spans="1:14" ht="17.399999999999999" customHeight="1" x14ac:dyDescent="0.55000000000000004">
      <c r="A24" s="86">
        <v>6</v>
      </c>
      <c r="B24" s="85" t="str">
        <f t="shared" si="0"/>
        <v>Donnerstag</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 t="shared" si="1"/>
        <v>0.33333333333333331</v>
      </c>
      <c r="I24" s="89" t="str">
        <f>IF(AND(F24&gt;H24,OR(AND(OR($B24&lt;&gt;Ref!$A$7,$H$53&gt;0),OR($B24&lt;&gt;Ref!$A$8,$H$54&gt;0)),COUNT(SEARCH(Sonderarbeit,$N24))&gt;=1),ISNONTEXT(C24),C24&lt;&gt;""),F24-H24,"")</f>
        <v/>
      </c>
      <c r="J24" s="90" t="str">
        <f>IF(OR(AND(F24&lt;H24,OR(AND(OR($B24&lt;&gt;Ref!$A$7,$H$53&gt;0),OR($B24&lt;&gt;Ref!$A$8,$H$54&gt;0)),COUNT(SEARCH(Sonderarbeit,$N24))&gt;=1)),C24="Ausgleich"),H24-F24,"")</f>
        <v/>
      </c>
      <c r="K24" s="170" t="str">
        <f>IF(AND(B24=Ref!$A$8,SUM(I19:I24)&lt;SUM(J19:J24)),"-","")</f>
        <v/>
      </c>
      <c r="L24" s="92" t="str">
        <f>IF(B24=Ref!$A$8,ABS(SUM(I19:I24)-SUM(J19:J24)),"")</f>
        <v/>
      </c>
    </row>
    <row r="25" spans="1:14" ht="17.399999999999999" customHeight="1" x14ac:dyDescent="0.55000000000000004">
      <c r="A25" s="94">
        <v>7</v>
      </c>
      <c r="B25" s="85" t="str">
        <f t="shared" si="0"/>
        <v>Freitag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si="1"/>
        <v>0.3125</v>
      </c>
      <c r="I25" s="89">
        <f>IF(AND(F25&gt;H25,OR(AND(OR($B25&lt;&gt;Ref!$A$7,$H$53&gt;0),OR($B25&lt;&gt;Ref!$A$8,$H$54&gt;0)),COUNT(SEARCH(Sonderarbeit,$N25))&gt;=1),ISNONTEXT(C25),C25&lt;&gt;""),F25-H25,"")</f>
        <v>2.083333333333337E-2</v>
      </c>
      <c r="J25" s="90" t="str">
        <f>IF(OR(AND(F25&lt;H25,OR(AND(OR($B25&lt;&gt;Ref!$A$7,$H$53&gt;0),OR($B25&lt;&gt;Ref!$A$8,$H$54&gt;0)),COUNT(SEARCH(Sonderarbeit,$N25))&gt;=1)),C25="Ausgleich"),H25-F25,"")</f>
        <v/>
      </c>
      <c r="K25" s="170" t="str">
        <f>IF(AND(B25=Ref!$A$8,SUM(I19:I25)&lt;SUM(J19:J25)),"-","")</f>
        <v/>
      </c>
      <c r="L25" s="92" t="str">
        <f>IF(B25=Ref!$A$8,ABS(SUM(I19:I25)-SUM(J19:J25)),"")</f>
        <v/>
      </c>
    </row>
    <row r="26" spans="1:14" ht="17.399999999999999" customHeight="1" x14ac:dyDescent="0.55000000000000004">
      <c r="A26" s="94">
        <v>8</v>
      </c>
      <c r="B26" s="85" t="str">
        <f t="shared" si="0"/>
        <v>Samstag</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1"/>
        <v>0</v>
      </c>
      <c r="I26" s="89" t="str">
        <f>IF(AND(F26&gt;H26,OR(AND(OR($B26&lt;&gt;Ref!$A$7,$H$53&gt;0),OR($B26&lt;&gt;Ref!$A$8,$H$54&gt;0)),COUNT(SEARCH(Sonderarbeit,$N26))&gt;=1),ISNONTEXT(C26),C26&lt;&gt;""),F26-H26,"")</f>
        <v/>
      </c>
      <c r="J26" s="90" t="str">
        <f>IF(OR(AND(F26&lt;H26,OR(AND(OR($B26&lt;&gt;Ref!$A$7,$H$53&gt;0),OR($B26&lt;&gt;Ref!$A$8,$H$54&gt;0)),COUNT(SEARCH(Sonderarbeit,$N26))&gt;=1)),C26="Ausgleich"),H26-F26,"")</f>
        <v/>
      </c>
      <c r="K26" s="170" t="str">
        <f>IF(AND(B26=Ref!$A$8,SUM(I20:I26)&lt;SUM(J20:J26)),"-","")</f>
        <v/>
      </c>
      <c r="L26" s="92" t="str">
        <f>IF(B26=Ref!$A$8,ABS(SUM(I20:I26)-SUM(J20:J26)),"")</f>
        <v/>
      </c>
    </row>
    <row r="27" spans="1:14" ht="17.399999999999999" customHeight="1" x14ac:dyDescent="0.55000000000000004">
      <c r="A27" s="86">
        <v>9</v>
      </c>
      <c r="B27" s="85" t="str">
        <f t="shared" si="0"/>
        <v>Sonntag</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1"/>
        <v>0</v>
      </c>
      <c r="I27" s="89" t="str">
        <f>IF(AND(F27&gt;H27,OR(AND(OR($B27&lt;&gt;Ref!$A$7,$H$53&gt;0),OR($B27&lt;&gt;Ref!$A$8,$H$54&gt;0)),COUNT(SEARCH(Sonderarbeit,$N27))&gt;=1),ISNONTEXT(C27),C27&lt;&gt;""),F27-H27,"")</f>
        <v/>
      </c>
      <c r="J27" s="90" t="str">
        <f>IF(OR(AND(F27&lt;H27,OR(AND(OR($B27&lt;&gt;Ref!$A$7,$H$53&gt;0),OR($B27&lt;&gt;Ref!$A$8,$H$54&gt;0)),COUNT(SEARCH(Sonderarbeit,$N27))&gt;=1)),C27="Ausgleich"),H27-F27,"")</f>
        <v/>
      </c>
      <c r="K27" s="170" t="str">
        <f>IF(AND(B27=Ref!$A$8,SUM(I21:I27)&lt;SUM(J21:J27)),"-","")</f>
        <v/>
      </c>
      <c r="L27" s="92">
        <f>IF(B27=Ref!$A$8,ABS(SUM(I21:I27)-SUM(J21:J27)),"")</f>
        <v>2.083333333333337E-2</v>
      </c>
    </row>
    <row r="28" spans="1:14" ht="17.399999999999999" customHeight="1" x14ac:dyDescent="0.55000000000000004">
      <c r="A28" s="86">
        <v>10</v>
      </c>
      <c r="B28" s="85" t="str">
        <f t="shared" si="0"/>
        <v>Montag</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1"/>
        <v>0.33333333333333331</v>
      </c>
      <c r="I28" s="89" t="str">
        <f>IF(AND(F28&gt;H28,OR(AND(OR($B28&lt;&gt;Ref!$A$7,$H$53&gt;0),OR($B28&lt;&gt;Ref!$A$8,$H$54&gt;0)),COUNT(SEARCH(Sonderarbeit,$N28))&gt;=1),ISNONTEXT(C28),C28&lt;&gt;""),F28-H28,"")</f>
        <v/>
      </c>
      <c r="J28" s="90" t="str">
        <f>IF(OR(AND(F28&lt;H28,OR(AND(OR($B28&lt;&gt;Ref!$A$7,$H$53&gt;0),OR($B28&lt;&gt;Ref!$A$8,$H$54&gt;0)),COUNT(SEARCH(Sonderarbeit,$N28))&gt;=1)),C28="Ausgleich"),H28-F28,"")</f>
        <v/>
      </c>
      <c r="K28" s="170" t="str">
        <f>IF(AND(B28=Ref!$A$8,SUM(I22:I28)&lt;SUM(J22:J28)),"-","")</f>
        <v/>
      </c>
      <c r="L28" s="92" t="str">
        <f>IF(B28=Ref!$A$8,ABS(SUM(I22:I28)-SUM(J22:J28)),"")</f>
        <v/>
      </c>
    </row>
    <row r="29" spans="1:14" ht="17.399999999999999" customHeight="1" x14ac:dyDescent="0.55000000000000004">
      <c r="A29" s="94">
        <v>11</v>
      </c>
      <c r="B29" s="85" t="str">
        <f t="shared" si="0"/>
        <v>Dienstag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1"/>
        <v>0.33333333333333331</v>
      </c>
      <c r="I29" s="89" t="str">
        <f>IF(AND(F29&gt;H29,OR(AND(OR($B29&lt;&gt;Ref!$A$7,$H$53&gt;0),OR($B29&lt;&gt;Ref!$A$8,$H$54&gt;0)),COUNT(SEARCH(Sonderarbeit,$N29))&gt;=1),ISNONTEXT(C29),C29&lt;&gt;""),F29-H29,"")</f>
        <v/>
      </c>
      <c r="J29" s="90" t="str">
        <f>IF(OR(AND(F29&lt;H29,OR(AND(OR($B29&lt;&gt;Ref!$A$7,$H$53&gt;0),OR($B29&lt;&gt;Ref!$A$8,$H$54&gt;0)),COUNT(SEARCH(Sonderarbeit,$N29))&gt;=1)),C29="Ausgleich"),H29-F29,"")</f>
        <v/>
      </c>
      <c r="K29" s="170" t="str">
        <f>IF(AND(B29=Ref!$A$8,SUM(I23:I29)&lt;SUM(J23:J29)),"-","")</f>
        <v/>
      </c>
      <c r="L29" s="92" t="str">
        <f>IF(B29=Ref!$A$8,ABS(SUM(I23:I29)-SUM(J23:J29)),"")</f>
        <v/>
      </c>
    </row>
    <row r="30" spans="1:14" ht="17.399999999999999" customHeight="1" x14ac:dyDescent="0.55000000000000004">
      <c r="A30" s="94">
        <v>12</v>
      </c>
      <c r="B30" s="85" t="str">
        <f t="shared" si="0"/>
        <v>Mittwoch</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1"/>
        <v>0.33333333333333331</v>
      </c>
      <c r="I30" s="89" t="str">
        <f>IF(AND(F30&gt;H30,OR(AND(OR($B30&lt;&gt;Ref!$A$7,$H$53&gt;0),OR($B30&lt;&gt;Ref!$A$8,$H$54&gt;0)),COUNT(SEARCH(Sonderarbeit,$N30))&gt;=1),ISNONTEXT(C30),C30&lt;&gt;""),F30-H30,"")</f>
        <v/>
      </c>
      <c r="J30" s="90" t="str">
        <f>IF(OR(AND(F30&lt;H30,OR(AND(OR($B30&lt;&gt;Ref!$A$7,$H$53&gt;0),OR($B30&lt;&gt;Ref!$A$8,$H$54&gt;0)),COUNT(SEARCH(Sonderarbeit,$N30))&gt;=1)),C30="Ausgleich"),H30-F30,"")</f>
        <v/>
      </c>
      <c r="K30" s="170" t="str">
        <f>IF(AND(B30=Ref!$A$8,SUM(I24:I30)&lt;SUM(J24:J30)),"-","")</f>
        <v/>
      </c>
      <c r="L30" s="92" t="str">
        <f>IF(B30=Ref!$A$8,ABS(SUM(I24:I30)-SUM(J24:J30)),"")</f>
        <v/>
      </c>
    </row>
    <row r="31" spans="1:14" ht="17.399999999999999" customHeight="1" x14ac:dyDescent="0.55000000000000004">
      <c r="A31" s="94">
        <v>13</v>
      </c>
      <c r="B31" s="85" t="str">
        <f t="shared" si="0"/>
        <v>Donnerstag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1"/>
        <v>0.33333333333333331</v>
      </c>
      <c r="I31" s="89" t="str">
        <f>IF(AND(F31&gt;H31,OR(AND(OR($B31&lt;&gt;Ref!$A$7,$H$53&gt;0),OR($B31&lt;&gt;Ref!$A$8,$H$54&gt;0)),COUNT(SEARCH(Sonderarbeit,$N31))&gt;=1),ISNONTEXT(C31),C31&lt;&gt;""),F31-H31,"")</f>
        <v/>
      </c>
      <c r="J31" s="90" t="str">
        <f>IF(OR(AND(F31&lt;H31,OR(AND(OR($B31&lt;&gt;Ref!$A$7,$H$53&gt;0),OR($B31&lt;&gt;Ref!$A$8,$H$54&gt;0)),COUNT(SEARCH(Sonderarbeit,$N31))&gt;=1)),C31="Ausgleich"),H31-F31,"")</f>
        <v/>
      </c>
      <c r="K31" s="170" t="str">
        <f>IF(AND(B31=Ref!$A$8,SUM(I25:I31)&lt;SUM(J25:J31)),"-","")</f>
        <v/>
      </c>
      <c r="L31" s="92" t="str">
        <f>IF(B31=Ref!$A$8,ABS(SUM(I25:I31)-SUM(J25:J31)),"")</f>
        <v/>
      </c>
    </row>
    <row r="32" spans="1:14" ht="17.399999999999999" customHeight="1" x14ac:dyDescent="0.55000000000000004">
      <c r="A32" s="94">
        <v>14</v>
      </c>
      <c r="B32" s="85" t="str">
        <f t="shared" si="0"/>
        <v>Freitag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1"/>
        <v>0.3125</v>
      </c>
      <c r="I32" s="89">
        <f>IF(AND(F32&gt;H32,OR(AND(OR($B32&lt;&gt;Ref!$A$7,$H$53&gt;0),OR($B32&lt;&gt;Ref!$A$8,$H$54&gt;0)),COUNT(SEARCH(Sonderarbeit,$N32))&gt;=1),ISNONTEXT(C32),C32&lt;&gt;""),F32-H32,"")</f>
        <v>2.083333333333337E-2</v>
      </c>
      <c r="J32" s="90" t="str">
        <f>IF(OR(AND(F32&lt;H32,OR(AND(OR($B32&lt;&gt;Ref!$A$7,$H$53&gt;0),OR($B32&lt;&gt;Ref!$A$8,$H$54&gt;0)),COUNT(SEARCH(Sonderarbeit,$N32))&gt;=1)),C32="Ausgleich"),H32-F32,"")</f>
        <v/>
      </c>
      <c r="K32" s="170" t="str">
        <f>IF(AND(B32=Ref!$A$8,SUM(I26:I32)&lt;SUM(J26:J32)),"-","")</f>
        <v/>
      </c>
      <c r="L32" s="92" t="str">
        <f>IF(B32=Ref!$A$8,ABS(SUM(I26:I32)-SUM(J26:J32)),"")</f>
        <v/>
      </c>
    </row>
    <row r="33" spans="1:14" ht="17.399999999999999" customHeight="1" x14ac:dyDescent="0.55000000000000004">
      <c r="A33" s="86">
        <v>15</v>
      </c>
      <c r="B33" s="85" t="str">
        <f t="shared" si="0"/>
        <v>Samstag</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1"/>
        <v>0</v>
      </c>
      <c r="I33" s="89" t="str">
        <f>IF(AND(F33&gt;H33,OR(AND(OR($B33&lt;&gt;Ref!$A$7,$H$53&gt;0),OR($B33&lt;&gt;Ref!$A$8,$H$54&gt;0)),COUNT(SEARCH(Sonderarbeit,$N33))&gt;=1),ISNONTEXT(C33),C33&lt;&gt;""),F33-H33,"")</f>
        <v/>
      </c>
      <c r="J33" s="90" t="str">
        <f>IF(OR(AND(F33&lt;H33,OR(AND(OR($B33&lt;&gt;Ref!$A$7,$H$53&gt;0),OR($B33&lt;&gt;Ref!$A$8,$H$54&gt;0)),COUNT(SEARCH(Sonderarbeit,$N33))&gt;=1)),C33="Ausgleich"),H33-F33,"")</f>
        <v/>
      </c>
      <c r="K33" s="170" t="str">
        <f>IF(AND(B33=Ref!$A$8,SUM(I27:I33)&lt;SUM(J27:J33)),"-","")</f>
        <v/>
      </c>
      <c r="L33" s="92" t="str">
        <f>IF(B33=Ref!$A$8,ABS(SUM(I27:I33)-SUM(J27:J33)),"")</f>
        <v/>
      </c>
    </row>
    <row r="34" spans="1:14" ht="17.399999999999999" customHeight="1" x14ac:dyDescent="0.55000000000000004">
      <c r="A34" s="86">
        <v>16</v>
      </c>
      <c r="B34" s="85" t="str">
        <f t="shared" si="0"/>
        <v>Sonntag</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1"/>
        <v>0</v>
      </c>
      <c r="I34" s="89" t="str">
        <f>IF(AND(F34&gt;H34,OR(AND(OR($B34&lt;&gt;Ref!$A$7,$H$53&gt;0),OR($B34&lt;&gt;Ref!$A$8,$H$54&gt;0)),COUNT(SEARCH(Sonderarbeit,$N34))&gt;=1),ISNONTEXT(C34),C34&lt;&gt;""),F34-H34,"")</f>
        <v/>
      </c>
      <c r="J34" s="90" t="str">
        <f>IF(OR(AND(F34&lt;H34,OR(AND(OR($B34&lt;&gt;Ref!$A$7,$H$53&gt;0),OR($B34&lt;&gt;Ref!$A$8,$H$54&gt;0)),COUNT(SEARCH(Sonderarbeit,$N34))&gt;=1)),C34="Ausgleich"),H34-F34,"")</f>
        <v/>
      </c>
      <c r="K34" s="170" t="str">
        <f>IF(AND(B34=Ref!$A$8,SUM(I28:I34)&lt;SUM(J28:J34)),"-","")</f>
        <v/>
      </c>
      <c r="L34" s="92">
        <f>IF(B34=Ref!$A$8,ABS(SUM(I28:I34)-SUM(J28:J34)),"")</f>
        <v>2.083333333333337E-2</v>
      </c>
    </row>
    <row r="35" spans="1:14" ht="17.399999999999999" customHeight="1" x14ac:dyDescent="0.55000000000000004">
      <c r="A35" s="86">
        <v>17</v>
      </c>
      <c r="B35" s="85" t="str">
        <f t="shared" si="0"/>
        <v>Montag</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1"/>
        <v>0.33333333333333331</v>
      </c>
      <c r="I35" s="89" t="str">
        <f>IF(AND(F35&gt;H35,OR(AND(OR($B35&lt;&gt;Ref!$A$7,$H$53&gt;0),OR($B35&lt;&gt;Ref!$A$8,$H$54&gt;0)),COUNT(SEARCH(Sonderarbeit,$N35))&gt;=1),ISNONTEXT(C35),C35&lt;&gt;""),F35-H35,"")</f>
        <v/>
      </c>
      <c r="J35" s="90" t="str">
        <f>IF(OR(AND(F35&lt;H35,OR(AND(OR($B35&lt;&gt;Ref!$A$7,$H$53&gt;0),OR($B35&lt;&gt;Ref!$A$8,$H$54&gt;0)),COUNT(SEARCH(Sonderarbeit,$N35))&gt;=1)),C35="Ausgleich"),H35-F35,"")</f>
        <v/>
      </c>
      <c r="K35" s="170" t="str">
        <f>IF(AND(B35=Ref!$A$8,SUM(I29:I35)&lt;SUM(J29:J35)),"-","")</f>
        <v/>
      </c>
      <c r="L35" s="92" t="str">
        <f>IF(B35=Ref!$A$8,ABS(SUM(I29:I35)-SUM(J29:J35)),"")</f>
        <v/>
      </c>
    </row>
    <row r="36" spans="1:14" ht="17.399999999999999" customHeight="1" x14ac:dyDescent="0.55000000000000004">
      <c r="A36" s="86">
        <v>18</v>
      </c>
      <c r="B36" s="85" t="str">
        <f t="shared" si="0"/>
        <v>Dienstag</v>
      </c>
      <c r="C36" s="87">
        <v>0.35416666666666669</v>
      </c>
      <c r="D36" s="213">
        <f t="array" ref="D36">IF(AND(COUNT(SEARCH(Sonderarbeit,$N36,1))&gt;=1,$B36=Ref!$A$7),Ref!$K$1,Ref!$K$2)</f>
        <v>0.70833333333333337</v>
      </c>
      <c r="E36" s="213">
        <f t="array" ref="E36">IF(AND(COUNT(SEARCH(Sonderarbeit,$N36))&gt;=1,$B36=Ref!$A$7),,Ref!$K$3)</f>
        <v>2.0833333333333332E-2</v>
      </c>
      <c r="F36" s="270">
        <f t="shared" si="2"/>
        <v>0.33333333333333337</v>
      </c>
      <c r="G36" s="271"/>
      <c r="H36" s="88">
        <f t="shared" si="1"/>
        <v>0.33333333333333331</v>
      </c>
      <c r="I36" s="89" t="str">
        <f>IF(AND(F36&gt;H36,OR(AND(OR($B36&lt;&gt;Ref!$A$7,$H$53&gt;0),OR($B36&lt;&gt;Ref!$A$8,$H$54&gt;0)),COUNT(SEARCH(Sonderarbeit,$N36))&gt;=1),ISNONTEXT(C36),C36&lt;&gt;""),F36-H36,"")</f>
        <v/>
      </c>
      <c r="J36" s="90" t="str">
        <f>IF(OR(AND(F36&lt;H36,OR(AND(OR($B36&lt;&gt;Ref!$A$7,$H$53&gt;0),OR($B36&lt;&gt;Ref!$A$8,$H$54&gt;0)),COUNT(SEARCH(Sonderarbeit,$N36))&gt;=1)),C36="Ausgleich"),H36-F36,"")</f>
        <v/>
      </c>
      <c r="K36" s="170" t="str">
        <f>IF(AND(B36=Ref!$A$8,SUM(I30:I36)&lt;SUM(J30:J36)),"-","")</f>
        <v/>
      </c>
      <c r="L36" s="92" t="str">
        <f>IF(B36=Ref!$A$8,ABS(SUM(I30:I36)-SUM(J30:J36)),"")</f>
        <v/>
      </c>
    </row>
    <row r="37" spans="1:14" ht="17.399999999999999" customHeight="1" x14ac:dyDescent="0.55000000000000004">
      <c r="A37" s="86">
        <v>19</v>
      </c>
      <c r="B37" s="85" t="str">
        <f t="shared" si="0"/>
        <v>Mittwoch</v>
      </c>
      <c r="C37" s="87">
        <v>0.35416666666666669</v>
      </c>
      <c r="D37" s="213">
        <f t="array" ref="D37">IF(AND(COUNT(SEARCH(Sonderarbeit,$N37,1))&gt;=1,$B37=Ref!$A$7),Ref!$K$1,Ref!$K$2)</f>
        <v>0.70833333333333337</v>
      </c>
      <c r="E37" s="213">
        <f t="array" ref="E37">IF(AND(COUNT(SEARCH(Sonderarbeit,$N37))&gt;=1,$B37=Ref!$A$7),,Ref!$K$3)</f>
        <v>2.0833333333333332E-2</v>
      </c>
      <c r="F37" s="270">
        <f t="shared" si="2"/>
        <v>0.33333333333333337</v>
      </c>
      <c r="G37" s="271"/>
      <c r="H37" s="88">
        <f t="shared" si="1"/>
        <v>0.33333333333333331</v>
      </c>
      <c r="I37" s="89" t="str">
        <f>IF(AND(F37&gt;H37,OR(AND(OR($B37&lt;&gt;Ref!$A$7,$H$53&gt;0),OR($B37&lt;&gt;Ref!$A$8,$H$54&gt;0)),COUNT(SEARCH(Sonderarbeit,$N37))&gt;=1),ISNONTEXT(C37),C37&lt;&gt;""),F37-H37,"")</f>
        <v/>
      </c>
      <c r="J37" s="90" t="str">
        <f>IF(OR(AND(F37&lt;H37,OR(AND(OR($B37&lt;&gt;Ref!$A$7,$H$53&gt;0),OR($B37&lt;&gt;Ref!$A$8,$H$54&gt;0)),COUNT(SEARCH(Sonderarbeit,$N37))&gt;=1)),C37="Ausgleich"),H37-F37,"")</f>
        <v/>
      </c>
      <c r="K37" s="170" t="str">
        <f>IF(AND(B37=Ref!$A$8,SUM(I31:I37)&lt;SUM(J31:J37)),"-","")</f>
        <v/>
      </c>
      <c r="L37" s="92" t="str">
        <f>IF(B37=Ref!$A$8,ABS(SUM(I31:I37)-SUM(J31:J37)),"")</f>
        <v/>
      </c>
      <c r="N37" s="181"/>
    </row>
    <row r="38" spans="1:14" ht="17.399999999999999" customHeight="1" x14ac:dyDescent="0.55000000000000004">
      <c r="A38" s="86">
        <v>20</v>
      </c>
      <c r="B38" s="85" t="str">
        <f t="shared" si="0"/>
        <v>Donnerstag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1"/>
        <v>0.33333333333333331</v>
      </c>
      <c r="I38" s="89" t="str">
        <f>IF(AND(F38&gt;H38,OR(AND(OR($B38&lt;&gt;Ref!$A$7,$H$53&gt;0),OR($B38&lt;&gt;Ref!$A$8,$H$54&gt;0)),COUNT(SEARCH(Sonderarbeit,$N38))&gt;=1),ISNONTEXT(C38),C38&lt;&gt;""),F38-H38,"")</f>
        <v/>
      </c>
      <c r="J38" s="90" t="str">
        <f>IF(OR(AND(F38&lt;H38,OR(AND(OR($B38&lt;&gt;Ref!$A$7,$H$53&gt;0),OR($B38&lt;&gt;Ref!$A$8,$H$54&gt;0)),COUNT(SEARCH(Sonderarbeit,$N38))&gt;=1)),C38="Ausgleich"),H38-F38,"")</f>
        <v/>
      </c>
      <c r="K38" s="170" t="str">
        <f>IF(AND(B38=Ref!$A$8,SUM(I32:I38)&lt;SUM(J32:J38)),"-","")</f>
        <v/>
      </c>
      <c r="L38" s="92" t="str">
        <f>IF(B38=Ref!$A$8,ABS(SUM(I32:I38)-SUM(J32:J38)),"")</f>
        <v/>
      </c>
    </row>
    <row r="39" spans="1:14" ht="17.399999999999999" customHeight="1" x14ac:dyDescent="0.55000000000000004">
      <c r="A39" s="86">
        <v>21</v>
      </c>
      <c r="B39" s="85" t="str">
        <f t="shared" si="0"/>
        <v>Freitag</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1"/>
        <v>0.3125</v>
      </c>
      <c r="I39" s="89">
        <f>IF(AND(F39&gt;H39,OR(AND(OR($B39&lt;&gt;Ref!$A$7,$H$53&gt;0),OR($B39&lt;&gt;Ref!$A$8,$H$54&gt;0)),COUNT(SEARCH(Sonderarbeit,$N39))&gt;=1),ISNONTEXT(C39),C39&lt;&gt;""),F39-H39,"")</f>
        <v>2.083333333333337E-2</v>
      </c>
      <c r="J39" s="90" t="str">
        <f>IF(OR(AND(F39&lt;H39,OR(AND(OR($B39&lt;&gt;Ref!$A$7,$H$53&gt;0),OR($B39&lt;&gt;Ref!$A$8,$H$54&gt;0)),COUNT(SEARCH(Sonderarbeit,$N39))&gt;=1)),C39="Ausgleich"),H39-F39,"")</f>
        <v/>
      </c>
      <c r="K39" s="170" t="str">
        <f>IF(AND(B39=Ref!$A$8,SUM(I33:I39)&lt;SUM(J33:J39)),"-","")</f>
        <v/>
      </c>
      <c r="L39" s="92" t="str">
        <f>IF(B39=Ref!$A$8,ABS(SUM(I33:I39)-SUM(J33:J39)),"")</f>
        <v/>
      </c>
    </row>
    <row r="40" spans="1:14" ht="17.399999999999999" customHeight="1" x14ac:dyDescent="0.55000000000000004">
      <c r="A40" s="86">
        <v>22</v>
      </c>
      <c r="B40" s="85" t="str">
        <f t="shared" si="0"/>
        <v>Samstag</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1"/>
        <v>0</v>
      </c>
      <c r="I40" s="89" t="str">
        <f>IF(AND(F40&gt;H40,OR(AND(OR($B40&lt;&gt;Ref!$A$7,$H$53&gt;0),OR($B40&lt;&gt;Ref!$A$8,$H$54&gt;0)),COUNT(SEARCH(Sonderarbeit,$N40))&gt;=1),ISNONTEXT(C40),C40&lt;&gt;""),F40-H40,"")</f>
        <v/>
      </c>
      <c r="J40" s="90" t="str">
        <f>IF(OR(AND(F40&lt;H40,OR(AND(OR($B40&lt;&gt;Ref!$A$7,$H$53&gt;0),OR($B40&lt;&gt;Ref!$A$8,$H$54&gt;0)),COUNT(SEARCH(Sonderarbeit,$N40))&gt;=1)),C40="Ausgleich"),H40-F40,"")</f>
        <v/>
      </c>
      <c r="K40" s="170" t="str">
        <f>IF(AND(B40=Ref!$A$8,SUM(I34:I40)&lt;SUM(J34:J40)),"-","")</f>
        <v/>
      </c>
      <c r="L40" s="92" t="str">
        <f>IF(B40=Ref!$A$8,ABS(SUM(I34:I40)-SUM(J34:J40)),"")</f>
        <v/>
      </c>
    </row>
    <row r="41" spans="1:14" ht="17.399999999999999" customHeight="1" x14ac:dyDescent="0.55000000000000004">
      <c r="A41" s="86">
        <v>23</v>
      </c>
      <c r="B41" s="85" t="str">
        <f t="shared" si="0"/>
        <v>Sonntag</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1"/>
        <v>0</v>
      </c>
      <c r="I41" s="89" t="str">
        <f>IF(AND(F41&gt;H41,OR(AND(OR($B41&lt;&gt;Ref!$A$7,$H$53&gt;0),OR($B41&lt;&gt;Ref!$A$8,$H$54&gt;0)),COUNT(SEARCH(Sonderarbeit,$N41))&gt;=1),ISNONTEXT(C41),C41&lt;&gt;""),F41-H41,"")</f>
        <v/>
      </c>
      <c r="J41" s="90" t="str">
        <f>IF(OR(AND(F41&lt;H41,OR(AND(OR($B41&lt;&gt;Ref!$A$7,$H$53&gt;0),OR($B41&lt;&gt;Ref!$A$8,$H$54&gt;0)),COUNT(SEARCH(Sonderarbeit,$N41))&gt;=1)),C41="Ausgleich"),H41-F41,"")</f>
        <v/>
      </c>
      <c r="K41" s="170" t="str">
        <f>IF(AND(B41=Ref!$A$8,SUM(I35:I41)&lt;SUM(J35:J41)),"-","")</f>
        <v/>
      </c>
      <c r="L41" s="92">
        <f>IF(B41=Ref!$A$8,ABS(SUM(I35:I41)-SUM(J35:J41)),"")</f>
        <v>2.083333333333337E-2</v>
      </c>
    </row>
    <row r="42" spans="1:14" ht="17.399999999999999" customHeight="1" x14ac:dyDescent="0.55000000000000004">
      <c r="A42" s="86">
        <v>24</v>
      </c>
      <c r="B42" s="85" t="str">
        <f t="shared" si="0"/>
        <v>Montag</v>
      </c>
      <c r="C42" s="87">
        <v>0.35416666666666669</v>
      </c>
      <c r="D42" s="213">
        <f t="array" ref="D42">IF(AND(COUNT(SEARCH(Sonderarbeit,$N42,1))&gt;=1,$B42=Ref!$A$7),Ref!$K$1,Ref!$K$2)</f>
        <v>0.70833333333333337</v>
      </c>
      <c r="E42" s="213">
        <f t="array" ref="E42">IF(AND(COUNT(SEARCH(Sonderarbeit,$N42))&gt;=1,$B42=Ref!$A$7),,Ref!$K$3)</f>
        <v>2.0833333333333332E-2</v>
      </c>
      <c r="F42" s="270">
        <f t="shared" si="2"/>
        <v>0.33333333333333337</v>
      </c>
      <c r="G42" s="271"/>
      <c r="H42" s="88">
        <f t="shared" si="1"/>
        <v>0.33333333333333331</v>
      </c>
      <c r="I42" s="89" t="str">
        <f>IF(AND(F42&gt;H42,OR(AND(OR($B42&lt;&gt;Ref!$A$7,$H$53&gt;0),OR($B42&lt;&gt;Ref!$A$8,$H$54&gt;0)),COUNT(SEARCH(Sonderarbeit,$N42))&gt;=1),ISNONTEXT(C42),C42&lt;&gt;""),F42-H42,"")</f>
        <v/>
      </c>
      <c r="J42" s="90" t="str">
        <f>IF(OR(AND(F42&lt;H42,OR(AND(OR($B42&lt;&gt;Ref!$A$7,$H$53&gt;0),OR($B42&lt;&gt;Ref!$A$8,$H$54&gt;0)),COUNT(SEARCH(Sonderarbeit,$N42))&gt;=1)),C42="Ausgleich"),H42-F42,"")</f>
        <v/>
      </c>
      <c r="K42" s="170" t="str">
        <f>IF(AND(B42=Ref!$A$8,SUM(I36:I42)&lt;SUM(J36:J42)),"-","")</f>
        <v/>
      </c>
      <c r="L42" s="92" t="str">
        <f>IF(B42=Ref!$A$8,ABS(SUM(I36:I42)-SUM(J36:J42)),"")</f>
        <v/>
      </c>
    </row>
    <row r="43" spans="1:14" ht="17.399999999999999" customHeight="1" x14ac:dyDescent="0.55000000000000004">
      <c r="A43" s="86">
        <v>25</v>
      </c>
      <c r="B43" s="85" t="str">
        <f t="shared" si="0"/>
        <v>Dienstag</v>
      </c>
      <c r="C43" s="87">
        <v>0.35416666666666669</v>
      </c>
      <c r="D43" s="213">
        <f t="array" ref="D43">IF(AND(COUNT(SEARCH(Sonderarbeit,$N43,1))&gt;=1,$B43=Ref!$A$7),Ref!$K$1,Ref!$K$2)</f>
        <v>0.70833333333333337</v>
      </c>
      <c r="E43" s="213">
        <f t="array" ref="E43">IF(AND(COUNT(SEARCH(Sonderarbeit,$N43))&gt;=1,$B43=Ref!$A$7),,Ref!$K$3)</f>
        <v>2.0833333333333332E-2</v>
      </c>
      <c r="F43" s="270">
        <f t="shared" si="2"/>
        <v>0.33333333333333337</v>
      </c>
      <c r="G43" s="271"/>
      <c r="H43" s="88">
        <f t="shared" si="1"/>
        <v>0.33333333333333331</v>
      </c>
      <c r="I43" s="89" t="str">
        <f>IF(AND(F43&gt;H43,OR(AND(OR($B43&lt;&gt;Ref!$A$7,$H$53&gt;0),OR($B43&lt;&gt;Ref!$A$8,$H$54&gt;0)),COUNT(SEARCH(Sonderarbeit,$N43))&gt;=1),ISNONTEXT(C43),C43&lt;&gt;""),F43-H43,"")</f>
        <v/>
      </c>
      <c r="J43" s="90" t="str">
        <f>IF(OR(AND(F43&lt;H43,OR(AND(OR($B43&lt;&gt;Ref!$A$7,$H$53&gt;0),OR($B43&lt;&gt;Ref!$A$8,$H$54&gt;0)),COUNT(SEARCH(Sonderarbeit,$N43))&gt;=1)),C43="Ausgleich"),H43-F43,"")</f>
        <v/>
      </c>
      <c r="K43" s="170" t="str">
        <f>IF(AND(B43=Ref!$A$8,SUM(I37:I43)&lt;SUM(J37:J43)),"-","")</f>
        <v/>
      </c>
      <c r="L43" s="92" t="str">
        <f>IF(B43=Ref!$A$8,ABS(SUM(I37:I43)-SUM(J37:J43)),"")</f>
        <v/>
      </c>
    </row>
    <row r="44" spans="1:14" ht="17.399999999999999" customHeight="1" x14ac:dyDescent="0.55000000000000004">
      <c r="A44" s="86">
        <v>26</v>
      </c>
      <c r="B44" s="85" t="str">
        <f t="shared" si="0"/>
        <v>Mittwoch</v>
      </c>
      <c r="C44" s="87">
        <v>0.35416666666666669</v>
      </c>
      <c r="D44" s="213">
        <f t="array" ref="D44">IF(AND(COUNT(SEARCH(Sonderarbeit,$N44,1))&gt;=1,$B44=Ref!$A$7),Ref!$K$1,Ref!$K$2)</f>
        <v>0.70833333333333337</v>
      </c>
      <c r="E44" s="213">
        <f t="array" ref="E44">IF(AND(COUNT(SEARCH(Sonderarbeit,$N44))&gt;=1,$B44=Ref!$A$7),,Ref!$K$3)</f>
        <v>2.0833333333333332E-2</v>
      </c>
      <c r="F44" s="270">
        <f t="shared" si="2"/>
        <v>0.33333333333333337</v>
      </c>
      <c r="G44" s="271"/>
      <c r="H44" s="88">
        <f t="shared" si="1"/>
        <v>0.33333333333333331</v>
      </c>
      <c r="I44" s="89" t="str">
        <f>IF(AND(F44&gt;H44,OR(AND(OR($B44&lt;&gt;Ref!$A$7,$H$53&gt;0),OR($B44&lt;&gt;Ref!$A$8,$H$54&gt;0)),COUNT(SEARCH(Sonderarbeit,$N44))&gt;=1),ISNONTEXT(C44),C44&lt;&gt;""),F44-H44,"")</f>
        <v/>
      </c>
      <c r="J44" s="90" t="str">
        <f>IF(OR(AND(F44&lt;H44,OR(AND(OR($B44&lt;&gt;Ref!$A$7,$H$53&gt;0),OR($B44&lt;&gt;Ref!$A$8,$H$54&gt;0)),COUNT(SEARCH(Sonderarbeit,$N44))&gt;=1)),C44="Ausgleich"),H44-F44,"")</f>
        <v/>
      </c>
      <c r="K44" s="170" t="str">
        <f>IF(AND(B44=Ref!$A$8,SUM(I38:I44)&lt;SUM(J38:J44)),"-","")</f>
        <v/>
      </c>
      <c r="L44" s="92" t="str">
        <f>IF(B44=Ref!$A$8,ABS(SUM(I38:I44)-SUM(J38:J44)),"")</f>
        <v/>
      </c>
    </row>
    <row r="45" spans="1:14" ht="17.399999999999999" customHeight="1" x14ac:dyDescent="0.55000000000000004">
      <c r="A45" s="86">
        <v>27</v>
      </c>
      <c r="B45" s="85" t="str">
        <f t="shared" si="0"/>
        <v>Donnerstag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1"/>
        <v>0.33333333333333331</v>
      </c>
      <c r="I45" s="89" t="str">
        <f>IF(AND(F45&gt;H45,OR(AND(OR($B45&lt;&gt;Ref!$A$7,$H$53&gt;0),OR($B45&lt;&gt;Ref!$A$8,$H$54&gt;0)),COUNT(SEARCH(Sonderarbeit,$N45))&gt;=1),ISNONTEXT(C45),C45&lt;&gt;""),F45-H45,"")</f>
        <v/>
      </c>
      <c r="J45" s="90" t="str">
        <f>IF(OR(AND(F45&lt;H45,OR(AND(OR($B45&lt;&gt;Ref!$A$7,$H$53&gt;0),OR($B45&lt;&gt;Ref!$A$8,$H$54&gt;0)),COUNT(SEARCH(Sonderarbeit,$N45))&gt;=1)),C45="Ausgleich"),H45-F45,"")</f>
        <v/>
      </c>
      <c r="K45" s="170" t="str">
        <f>IF(AND(B45=Ref!$A$8,SUM(I39:I45)&lt;SUM(J39:J45)),"-","")</f>
        <v/>
      </c>
      <c r="L45" s="92" t="str">
        <f>IF(B45=Ref!$A$8,ABS(SUM(I39:I45)-SUM(J39:J45)),"")</f>
        <v/>
      </c>
    </row>
    <row r="46" spans="1:14" ht="17.399999999999999" customHeight="1" x14ac:dyDescent="0.55000000000000004">
      <c r="A46" s="86">
        <v>28</v>
      </c>
      <c r="B46" s="85" t="str">
        <f t="shared" si="0"/>
        <v>Freitag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1"/>
        <v>0.3125</v>
      </c>
      <c r="I46" s="89">
        <f>IF(AND(F46&gt;H46,OR(AND(OR($B46&lt;&gt;Ref!$A$7,$H$53&gt;0),OR($B46&lt;&gt;Ref!$A$8,$H$54&gt;0)),COUNT(SEARCH(Sonderarbeit,$N46))&gt;=1),ISNONTEXT(C46),C46&lt;&gt;""),F46-H46,"")</f>
        <v>2.083333333333337E-2</v>
      </c>
      <c r="J46" s="90" t="str">
        <f>IF(OR(AND(F46&lt;H46,OR(AND(OR($B46&lt;&gt;Ref!$A$7,$H$53&gt;0),OR($B46&lt;&gt;Ref!$A$8,$H$54&gt;0)),COUNT(SEARCH(Sonderarbeit,$N46))&gt;=1)),C46="Ausgleich"),H46-F46,"")</f>
        <v/>
      </c>
      <c r="K46" s="218" t="str">
        <f>IF(AND(B46=Ref!$A$8,SUM(I40:I46)&lt;SUM(J40:J46)),"-","")</f>
        <v/>
      </c>
      <c r="L46" s="96">
        <f ca="1">ABS(SUM(INDIRECT("I"&amp;ROW()-WEEKDAY(DATE(J$11,MONTH(I$11),A46),3)):I46)-SUM(INDIRECT("j"&amp;ROW()-WEEKDAY(DATE(J$11,MONTH(I$11),A46))):J46))</f>
        <v>2.083333333333337E-2</v>
      </c>
      <c r="N46" s="181"/>
    </row>
    <row r="47" spans="1:14" s="20" customFormat="1" ht="17.399999999999999" customHeight="1" thickBot="1" x14ac:dyDescent="0.35">
      <c r="A47" s="98" t="str">
        <f>Jan!A50</f>
        <v>Sonstige Zeiten laut beigefügter Aufstellung (s. Anlage):</v>
      </c>
      <c r="B47" s="142"/>
      <c r="C47" s="143"/>
      <c r="D47" s="144"/>
      <c r="E47" s="144"/>
      <c r="F47" s="144"/>
      <c r="G47" s="144"/>
      <c r="H47" s="165"/>
      <c r="I47" s="145">
        <v>0</v>
      </c>
      <c r="J47" s="146">
        <v>0</v>
      </c>
      <c r="K47" s="147"/>
      <c r="L47" s="148"/>
      <c r="M47" s="183"/>
      <c r="N47" s="183"/>
    </row>
    <row r="48" spans="1:14" x14ac:dyDescent="0.3">
      <c r="A48" s="326" t="s">
        <v>3</v>
      </c>
      <c r="B48" s="326"/>
      <c r="C48" s="326"/>
      <c r="D48" s="326"/>
      <c r="E48" s="105"/>
      <c r="F48" s="105"/>
      <c r="G48" s="105"/>
      <c r="H48" s="166">
        <f>Jan!H51</f>
        <v>0.33333333333333331</v>
      </c>
      <c r="I48" s="275">
        <f>SUM(I17:I47)</f>
        <v>0.18750000000000033</v>
      </c>
      <c r="J48" s="275">
        <f>SUM(J17:J47)</f>
        <v>0</v>
      </c>
      <c r="K48" s="252" t="str">
        <f ca="1">IF(SUMIF(K19:K46,"",L19:L46)&lt;SUMIF(K19:K46,"-",L19:L46),"-","")</f>
        <v/>
      </c>
      <c r="L48" s="254">
        <f ca="1">ABS(SUMIF(K19:K46,"",L19:L46)-SUMIF(K19:K46,"-",L19:L46))</f>
        <v>8.3333333333333481E-2</v>
      </c>
    </row>
    <row r="49" spans="1:12" ht="13.5" thickBot="1" x14ac:dyDescent="0.35">
      <c r="A49" s="258"/>
      <c r="B49" s="258"/>
      <c r="C49" s="258"/>
      <c r="D49" s="258"/>
      <c r="E49" s="105"/>
      <c r="F49" s="105"/>
      <c r="G49" s="106" t="s">
        <v>12</v>
      </c>
      <c r="H49" s="167">
        <f>Jan!H52</f>
        <v>0.33333333333333331</v>
      </c>
      <c r="I49" s="327"/>
      <c r="J49" s="327"/>
      <c r="K49" s="294"/>
      <c r="L49" s="255"/>
    </row>
    <row r="50" spans="1:12" x14ac:dyDescent="0.3">
      <c r="A50" s="258"/>
      <c r="B50" s="258"/>
      <c r="C50" s="258"/>
      <c r="D50" s="258"/>
      <c r="E50" s="105"/>
      <c r="F50" s="105"/>
      <c r="G50" s="107"/>
      <c r="H50" s="167">
        <f>Jan!H53</f>
        <v>0.33333333333333331</v>
      </c>
      <c r="I50" s="324">
        <f>IF(I48&gt;J48,I48-J48,0)</f>
        <v>0.18750000000000033</v>
      </c>
      <c r="J50" s="266" t="str">
        <f>IF(J48&gt;I48,J48-I48,"")</f>
        <v/>
      </c>
      <c r="K50" s="320"/>
      <c r="L50" s="322"/>
    </row>
    <row r="51" spans="1:12" ht="13.5" thickBot="1" x14ac:dyDescent="0.35">
      <c r="A51" s="265" t="s">
        <v>15</v>
      </c>
      <c r="B51" s="265"/>
      <c r="C51" s="265"/>
      <c r="D51" s="265"/>
      <c r="E51" s="109"/>
      <c r="F51" s="109"/>
      <c r="G51" s="106" t="s">
        <v>13</v>
      </c>
      <c r="H51" s="167">
        <f>Jan!H54</f>
        <v>0.33333333333333331</v>
      </c>
      <c r="I51" s="325"/>
      <c r="J51" s="328"/>
      <c r="K51" s="321"/>
      <c r="L51" s="323"/>
    </row>
    <row r="52" spans="1:12" ht="13.5" thickBot="1" x14ac:dyDescent="0.35">
      <c r="A52" s="257" t="s">
        <v>4</v>
      </c>
      <c r="B52" s="257"/>
      <c r="C52" s="257"/>
      <c r="D52" s="257"/>
      <c r="E52" s="109"/>
      <c r="F52" s="109"/>
      <c r="G52" s="109"/>
      <c r="H52" s="167">
        <f>Jan!H55</f>
        <v>0.3125</v>
      </c>
      <c r="I52" s="109"/>
      <c r="J52" s="109"/>
      <c r="K52" s="110"/>
      <c r="L52" s="110"/>
    </row>
    <row r="53" spans="1:12" ht="13.25" customHeight="1" x14ac:dyDescent="0.3">
      <c r="A53" s="258"/>
      <c r="B53" s="258"/>
      <c r="C53" s="258"/>
      <c r="D53" s="258"/>
      <c r="E53" s="149" t="str">
        <f>Jan!E56</f>
        <v xml:space="preserve"> </v>
      </c>
      <c r="F53" s="150"/>
      <c r="G53" s="151" t="str">
        <f>IF(E53=" ", " ", IF(Mantelbogen!D26=I11,Mantelbogen!C29,Jan!G58))</f>
        <v xml:space="preserve"> </v>
      </c>
      <c r="H53" s="168">
        <v>0</v>
      </c>
      <c r="I53" s="314" t="s">
        <v>123</v>
      </c>
      <c r="J53" s="315"/>
      <c r="K53" s="110"/>
      <c r="L53" s="110"/>
    </row>
    <row r="54" spans="1:12" ht="13.5" thickBot="1" x14ac:dyDescent="0.35">
      <c r="A54" s="258"/>
      <c r="B54" s="258"/>
      <c r="C54" s="258"/>
      <c r="D54" s="258"/>
      <c r="E54" s="149" t="str">
        <f>Jan!E57</f>
        <v xml:space="preserve"> </v>
      </c>
      <c r="F54" s="151"/>
      <c r="G54" s="151" t="str">
        <f>IF(E53=" ", " ", -COUNTIF(C19:C46, "Urlaub*" ))</f>
        <v xml:space="preserve"> </v>
      </c>
      <c r="H54" s="169">
        <v>0</v>
      </c>
      <c r="I54" s="316"/>
      <c r="J54" s="317"/>
      <c r="K54" s="110"/>
      <c r="L54" s="114"/>
    </row>
    <row r="55" spans="1:12" ht="24.5" customHeight="1" thickBot="1" x14ac:dyDescent="0.35">
      <c r="A55" s="265" t="s">
        <v>10</v>
      </c>
      <c r="B55" s="265"/>
      <c r="C55" s="265"/>
      <c r="D55" s="265"/>
      <c r="E55" s="152" t="str">
        <f>Jan!E58</f>
        <v xml:space="preserve"> </v>
      </c>
      <c r="F55" s="153"/>
      <c r="G55" s="154" t="str">
        <f>IF(E53=" ", " ", IF(Mantelbogen!C29 &gt; 0.0001, G53+G54, 0))</f>
        <v xml:space="preserve"> </v>
      </c>
      <c r="H55" s="196">
        <f>SUM(H48:H54)</f>
        <v>1.6458333333333333</v>
      </c>
      <c r="I55" s="318"/>
      <c r="J55" s="319"/>
      <c r="K55" s="105"/>
      <c r="L55" s="118" t="str">
        <f>Mantelbogen!D47</f>
        <v>10.01.2024  HAdW / G. Wolff</v>
      </c>
    </row>
    <row r="57" spans="1:12" x14ac:dyDescent="0.3">
      <c r="G57" s="256"/>
      <c r="H57" s="256"/>
      <c r="I57" s="256"/>
      <c r="J57" s="21"/>
    </row>
    <row r="58" spans="1:12" x14ac:dyDescent="0.3">
      <c r="G58" s="21"/>
      <c r="H58" s="21"/>
      <c r="I58" s="21"/>
      <c r="J58" s="21"/>
    </row>
    <row r="59" spans="1:12" x14ac:dyDescent="0.3">
      <c r="G59" s="21"/>
      <c r="H59" s="21"/>
    </row>
  </sheetData>
  <sheetProtection password="9BC9" sheet="1" objects="1" scenarios="1"/>
  <mergeCells count="62">
    <mergeCell ref="A1:E2"/>
    <mergeCell ref="A3:E3"/>
    <mergeCell ref="K50:K51"/>
    <mergeCell ref="L50:L51"/>
    <mergeCell ref="I50:I51"/>
    <mergeCell ref="A48:D48"/>
    <mergeCell ref="I48:I49"/>
    <mergeCell ref="J48:J49"/>
    <mergeCell ref="A49:D50"/>
    <mergeCell ref="A51:D51"/>
    <mergeCell ref="F44:G44"/>
    <mergeCell ref="F45:G45"/>
    <mergeCell ref="F46:G46"/>
    <mergeCell ref="J50:J51"/>
    <mergeCell ref="F30:G30"/>
    <mergeCell ref="G57:I57"/>
    <mergeCell ref="A52:D52"/>
    <mergeCell ref="A53:D54"/>
    <mergeCell ref="I53:J55"/>
    <mergeCell ref="A55:D55"/>
    <mergeCell ref="F31:G31"/>
    <mergeCell ref="F27:G27"/>
    <mergeCell ref="F28:G28"/>
    <mergeCell ref="F43:G43"/>
    <mergeCell ref="F32:G32"/>
    <mergeCell ref="F33:G33"/>
    <mergeCell ref="F34:G34"/>
    <mergeCell ref="F35:G35"/>
    <mergeCell ref="F36:G36"/>
    <mergeCell ref="F37:G37"/>
    <mergeCell ref="F38:G38"/>
    <mergeCell ref="F39:G39"/>
    <mergeCell ref="F40:G40"/>
    <mergeCell ref="F41:G41"/>
    <mergeCell ref="F42:G42"/>
    <mergeCell ref="G1:J7"/>
    <mergeCell ref="I15:J15"/>
    <mergeCell ref="I17:I18"/>
    <mergeCell ref="J17:J18"/>
    <mergeCell ref="F15:G18"/>
    <mergeCell ref="H15:H18"/>
    <mergeCell ref="A4:E6"/>
    <mergeCell ref="A11:B11"/>
    <mergeCell ref="A13:B13"/>
    <mergeCell ref="A15:A18"/>
    <mergeCell ref="E15:E18"/>
    <mergeCell ref="K15:L16"/>
    <mergeCell ref="K17:L18"/>
    <mergeCell ref="K48:K49"/>
    <mergeCell ref="L48:L49"/>
    <mergeCell ref="B15:B18"/>
    <mergeCell ref="C15:C18"/>
    <mergeCell ref="D15:D18"/>
    <mergeCell ref="F24:G24"/>
    <mergeCell ref="F25:G25"/>
    <mergeCell ref="F20:G20"/>
    <mergeCell ref="F19:G19"/>
    <mergeCell ref="F22:G22"/>
    <mergeCell ref="F23:G23"/>
    <mergeCell ref="F21:G21"/>
    <mergeCell ref="F26:G26"/>
    <mergeCell ref="F29:G29"/>
  </mergeCells>
  <phoneticPr fontId="0" type="noConversion"/>
  <conditionalFormatting sqref="C19:C46">
    <cfRule type="expression" dxfId="120" priority="37">
      <formula>ISTEXT($C19)</formula>
    </cfRule>
  </conditionalFormatting>
  <conditionalFormatting sqref="F19:F46">
    <cfRule type="expression" dxfId="119" priority="64">
      <formula>AND(ISNONTEXT($C19),$F19 &gt; 0.666667)</formula>
    </cfRule>
  </conditionalFormatting>
  <conditionalFormatting sqref="A19:L46">
    <cfRule type="expression" dxfId="118" priority="35">
      <formula>AND(ISTEXT($C19),$C19&lt;&gt;"Kinderkrankentag",$C19&lt;&gt;"Urlaub",$C19&lt;&gt;"Krank",$C19&lt;&gt;"Ausgleich")</formula>
    </cfRule>
  </conditionalFormatting>
  <conditionalFormatting sqref="A19:A46 C19:L46">
    <cfRule type="expression" dxfId="117" priority="1">
      <formula>COUNT(SEARCH(Sonderarbeit,$N19))&gt;=1</formula>
    </cfRule>
  </conditionalFormatting>
  <conditionalFormatting sqref="D19:J46">
    <cfRule type="expression" dxfId="116" priority="10">
      <formula>AND(ISTEXT($C19),$C19&lt;&gt;"Kinderkrankentag",$C19&lt;&gt;"Urlaub",$C19&lt;&gt;"Krank",$C19&lt;&gt;"Ausgleich")</formula>
    </cfRule>
  </conditionalFormatting>
  <conditionalFormatting sqref="D19:H46">
    <cfRule type="expression" dxfId="115" priority="17">
      <formula>AND(ISTEXT($C19),OR($C19="Kinderkrankentag",$C19="Urlaub",$C19="Krank",$C19="Ausgleich"))</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3" xr:uid="{9D4F6DA1-C025-46B0-8C7C-F8174E86271C}">
      <formula1>$A$4="Arbeitszeitblatt"</formula1>
    </dataValidation>
  </dataValidations>
  <printOptions horizontalCentered="1" verticalCentered="1"/>
  <pageMargins left="1.0236220472440944" right="0.23622047244094491" top="0.23622047244094491" bottom="0.19685039370078741" header="0.15748031496062992" footer="0.15748031496062992"/>
  <pageSetup paperSize="9" scale="81"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6" id="{585F06B8-0767-4B56-9EC8-172FED4E2F41}">
            <xm:f>OR(AND($B19=Ref!$A$7,$H$53=0), AND($B19=Ref!$A$8,$H$54=0), NOT( ISERROR(FIND("feiertag",LOWER($C19)) ) ) )</xm:f>
            <x14:dxf>
              <fill>
                <patternFill patternType="solid">
                  <bgColor rgb="FF99CCFF"/>
                </patternFill>
              </fill>
            </x14:dxf>
          </x14:cfRule>
          <xm:sqref>A19:L46</xm:sqref>
        </x14:conditionalFormatting>
        <x14:conditionalFormatting xmlns:xm="http://schemas.microsoft.com/office/excel/2006/main">
          <x14:cfRule type="expression" priority="8" id="{4A5F1B89-6C9B-4E08-93AE-63DF70E6B754}">
            <xm:f>AND(OR(AND($F19 &gt; 0.250001, $E19 &lt; 0.020833332), AND($F19 &gt; 0.375, $E19 &lt; 0.03124999)  ),OR(AND($B19&lt;&gt;Ref!$A$7, $B19&lt;&gt;Ref!$A$8),COUNT(SEARCH(Sonderarbeit,$N19))&gt;=1),ISNUMBER($C19))</xm:f>
            <x14:dxf>
              <fill>
                <patternFill>
                  <bgColor rgb="FFFF0000"/>
                </patternFill>
              </fill>
            </x14:dxf>
          </x14:cfRule>
          <xm:sqref>E19:E46</xm:sqref>
        </x14:conditionalFormatting>
        <x14:conditionalFormatting xmlns:xm="http://schemas.microsoft.com/office/excel/2006/main">
          <x14:cfRule type="expression" priority="42" id="{13070C8E-99F4-48FC-B5A9-D49FCAA64FD2}">
            <xm:f>OR(AND($B19=Ref!$A$7, $H$53&lt;0.00001),AND($B19=Ref!$A$8, $H$54&lt;0.00001))</xm:f>
            <x14:dxf>
              <font>
                <color rgb="FF99CCFF"/>
              </font>
              <fill>
                <patternFill>
                  <bgColor rgb="FF99CCFF"/>
                </patternFill>
              </fill>
            </x14:dxf>
          </x14:cfRule>
          <xm:sqref>C19:H46</xm:sqref>
        </x14:conditionalFormatting>
        <x14:conditionalFormatting xmlns:xm="http://schemas.microsoft.com/office/excel/2006/main">
          <x14:cfRule type="expression" priority="61" id="{4BC7E9AB-F710-4563-B697-E1A099552ECB}">
            <xm:f>AND($B19=Ref!$A$7, $H$53&gt;0.00001)</xm:f>
            <x14:dxf>
              <font>
                <b val="0"/>
                <i val="0"/>
                <color theme="1"/>
              </font>
            </x14:dxf>
          </x14:cfRule>
          <x14:cfRule type="expression" priority="63" id="{809170C6-89BC-40A1-AAB0-35104D160183}">
            <xm:f>AND($B19=Ref!$A$8, $H$54&gt;0.00001)</xm:f>
            <x14:dxf>
              <font>
                <b val="0"/>
                <i val="0"/>
              </font>
            </x14:dxf>
          </x14:cfRule>
          <xm:sqref>C19:H46</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48." xr:uid="{2DADD024-5C04-4543-A51C-98BAAECFB712}">
          <x14:formula1>
            <xm:f>NOT(OFFSET(C19,0,2-COLUMN(C19))=Ref!$A$7)</xm:f>
          </x14:formula1>
          <xm:sqref>C19:E46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N62"/>
  <sheetViews>
    <sheetView zoomScaleNormal="100" workbookViewId="0">
      <selection activeCell="A4" sqref="A4:E6"/>
    </sheetView>
  </sheetViews>
  <sheetFormatPr defaultColWidth="11.54296875" defaultRowHeight="13" x14ac:dyDescent="0.3"/>
  <cols>
    <col min="1" max="1" width="5.54296875" style="4" customWidth="1"/>
    <col min="2" max="2" width="9.08984375" style="5" customWidth="1"/>
    <col min="3" max="3" width="13.1796875" style="5" bestFit="1" customWidth="1"/>
    <col min="4" max="4" width="9.08984375" style="5" customWidth="1"/>
    <col min="5" max="5" width="8.54296875" style="2" customWidth="1"/>
    <col min="6" max="6" width="7.08984375" style="2" customWidth="1"/>
    <col min="7" max="7" width="3.1796875" style="2" customWidth="1"/>
    <col min="8" max="8" width="9.08984375" style="2" customWidth="1"/>
    <col min="9" max="9" width="9.90625" style="2" customWidth="1"/>
    <col min="10" max="10" width="10.36328125" style="2" customWidth="1"/>
    <col min="11" max="11" width="2.90625" style="2" customWidth="1"/>
    <col min="12" max="12" width="8.90625" style="2" customWidth="1"/>
    <col min="13" max="13" width="16.36328125" style="188" customWidth="1"/>
    <col min="14" max="14" width="18.1796875" style="189" customWidth="1"/>
    <col min="15" max="16384" width="11.54296875" style="2"/>
  </cols>
  <sheetData>
    <row r="1" spans="1:14" ht="15.5" x14ac:dyDescent="0.35">
      <c r="A1" s="289" t="s">
        <v>53</v>
      </c>
      <c r="B1" s="289"/>
      <c r="C1" s="289"/>
      <c r="D1" s="289"/>
      <c r="E1" s="289"/>
      <c r="F1" s="1"/>
      <c r="G1" s="277" t="s">
        <v>9</v>
      </c>
      <c r="H1" s="277"/>
      <c r="I1" s="277"/>
      <c r="J1" s="277"/>
    </row>
    <row r="2" spans="1:14" ht="15.5" x14ac:dyDescent="0.35">
      <c r="A2" s="289"/>
      <c r="B2" s="289"/>
      <c r="C2" s="289"/>
      <c r="D2" s="289"/>
      <c r="E2" s="289"/>
      <c r="F2" s="3"/>
      <c r="G2" s="277"/>
      <c r="H2" s="277"/>
      <c r="I2" s="277"/>
      <c r="J2" s="277"/>
    </row>
    <row r="3" spans="1:14" x14ac:dyDescent="0.3">
      <c r="A3" s="288" t="s">
        <v>11</v>
      </c>
      <c r="B3" s="288"/>
      <c r="C3" s="288"/>
      <c r="D3" s="288"/>
      <c r="E3" s="288"/>
      <c r="G3" s="277"/>
      <c r="H3" s="277"/>
      <c r="I3" s="277"/>
      <c r="J3" s="277"/>
    </row>
    <row r="4" spans="1:14" ht="13.25" customHeight="1" x14ac:dyDescent="0.3">
      <c r="A4" s="278" t="s">
        <v>5</v>
      </c>
      <c r="B4" s="278"/>
      <c r="C4" s="278"/>
      <c r="D4" s="278"/>
      <c r="E4" s="278"/>
      <c r="F4" s="6"/>
      <c r="G4" s="277"/>
      <c r="H4" s="277"/>
      <c r="I4" s="277"/>
      <c r="J4" s="277"/>
    </row>
    <row r="5" spans="1:14" ht="6" customHeight="1" x14ac:dyDescent="0.3">
      <c r="A5" s="278"/>
      <c r="B5" s="278"/>
      <c r="C5" s="278"/>
      <c r="D5" s="278"/>
      <c r="E5" s="278"/>
      <c r="F5" s="6"/>
      <c r="G5" s="277"/>
      <c r="H5" s="277"/>
      <c r="I5" s="277"/>
      <c r="J5" s="277"/>
    </row>
    <row r="6" spans="1:14" ht="13.25" customHeight="1" x14ac:dyDescent="0.3">
      <c r="A6" s="278"/>
      <c r="B6" s="278"/>
      <c r="C6" s="278"/>
      <c r="D6" s="278"/>
      <c r="E6" s="278"/>
      <c r="F6" s="6"/>
      <c r="G6" s="277"/>
      <c r="H6" s="277"/>
      <c r="I6" s="277"/>
      <c r="J6" s="277"/>
    </row>
    <row r="7" spans="1:14" ht="13.25" customHeight="1" x14ac:dyDescent="0.3">
      <c r="A7" s="6"/>
      <c r="B7" s="6"/>
      <c r="C7" s="6"/>
      <c r="D7" s="6"/>
      <c r="E7" s="6"/>
      <c r="F7" s="6"/>
      <c r="G7" s="277"/>
      <c r="H7" s="277"/>
      <c r="I7" s="277"/>
      <c r="J7" s="277"/>
    </row>
    <row r="8" spans="1:14" ht="6" customHeight="1" thickBot="1" x14ac:dyDescent="0.35">
      <c r="A8" s="7"/>
      <c r="B8" s="8"/>
      <c r="C8" s="8"/>
      <c r="D8" s="8"/>
      <c r="E8" s="9"/>
      <c r="F8" s="9"/>
      <c r="G8" s="9"/>
      <c r="H8" s="9"/>
      <c r="I8" s="10"/>
      <c r="J8" s="10"/>
      <c r="K8" s="11"/>
      <c r="L8" s="12"/>
    </row>
    <row r="9" spans="1:14" ht="6" customHeight="1" x14ac:dyDescent="0.3">
      <c r="A9" s="13"/>
      <c r="B9" s="14"/>
      <c r="C9" s="14"/>
      <c r="D9" s="14"/>
      <c r="E9" s="15"/>
      <c r="F9" s="15"/>
      <c r="G9" s="15"/>
      <c r="H9" s="15"/>
      <c r="I9" s="16"/>
      <c r="J9" s="16"/>
      <c r="K9" s="17"/>
      <c r="L9" s="18"/>
    </row>
    <row r="10" spans="1:14" x14ac:dyDescent="0.3">
      <c r="A10" s="119"/>
      <c r="B10" s="120"/>
      <c r="C10" s="120"/>
      <c r="D10" s="120"/>
      <c r="E10" s="121"/>
      <c r="F10" s="121"/>
      <c r="G10" s="121"/>
      <c r="H10" s="105"/>
      <c r="I10" s="122"/>
      <c r="J10" s="122"/>
      <c r="K10" s="123"/>
      <c r="L10" s="124"/>
    </row>
    <row r="11" spans="1:14" x14ac:dyDescent="0.3">
      <c r="A11" s="290" t="s">
        <v>6</v>
      </c>
      <c r="B11" s="290"/>
      <c r="C11" s="125" t="str">
        <f>Feb!C11</f>
        <v>ATHENE, Pallas</v>
      </c>
      <c r="D11" s="126"/>
      <c r="E11" s="127"/>
      <c r="F11" s="128"/>
      <c r="G11" s="128" t="s">
        <v>8</v>
      </c>
      <c r="H11" s="129"/>
      <c r="I11" s="130">
        <f>DATE(J11,3,1)</f>
        <v>45717</v>
      </c>
      <c r="J11" s="131">
        <f>Jan!J11</f>
        <v>2025</v>
      </c>
      <c r="K11" s="132"/>
      <c r="L11" s="133"/>
    </row>
    <row r="12" spans="1:14" x14ac:dyDescent="0.3">
      <c r="A12" s="134"/>
      <c r="B12" s="124"/>
      <c r="C12" s="135"/>
      <c r="D12" s="136"/>
      <c r="E12" s="128"/>
      <c r="F12" s="128"/>
      <c r="G12" s="121"/>
      <c r="H12" s="105"/>
      <c r="I12" s="122"/>
      <c r="J12" s="122"/>
      <c r="K12" s="123"/>
      <c r="L12" s="124"/>
    </row>
    <row r="13" spans="1:14" x14ac:dyDescent="0.3">
      <c r="A13" s="290" t="s">
        <v>7</v>
      </c>
      <c r="B13" s="290"/>
      <c r="C13" s="125" t="str">
        <f>Feb!C13</f>
        <v>Geschäftsstelle</v>
      </c>
      <c r="D13" s="139"/>
      <c r="E13" s="127"/>
      <c r="F13" s="140"/>
      <c r="G13" s="140"/>
      <c r="H13" s="129"/>
      <c r="I13" s="126"/>
      <c r="J13" s="127"/>
      <c r="K13" s="132"/>
      <c r="L13" s="133"/>
    </row>
    <row r="14" spans="1:14" ht="13.5" thickBot="1" x14ac:dyDescent="0.35">
      <c r="A14" s="134"/>
      <c r="B14" s="141"/>
      <c r="C14" s="141"/>
      <c r="D14" s="141"/>
      <c r="E14" s="105"/>
      <c r="F14" s="105"/>
      <c r="G14" s="105"/>
      <c r="H14" s="105"/>
      <c r="I14" s="105"/>
      <c r="J14" s="105"/>
      <c r="K14" s="123"/>
      <c r="L14" s="124"/>
    </row>
    <row r="15" spans="1:14" ht="13.25" customHeight="1" x14ac:dyDescent="0.3">
      <c r="A15" s="282"/>
      <c r="B15" s="282" t="s">
        <v>14</v>
      </c>
      <c r="C15" s="282" t="s">
        <v>130</v>
      </c>
      <c r="D15" s="282" t="s">
        <v>19</v>
      </c>
      <c r="E15" s="282" t="s">
        <v>16</v>
      </c>
      <c r="F15" s="283" t="s">
        <v>122</v>
      </c>
      <c r="G15" s="283"/>
      <c r="H15" s="279" t="s">
        <v>45</v>
      </c>
      <c r="I15" s="285" t="s">
        <v>0</v>
      </c>
      <c r="J15" s="285"/>
      <c r="K15" s="244" t="s">
        <v>43</v>
      </c>
      <c r="L15" s="245"/>
    </row>
    <row r="16" spans="1:14" ht="16" thickBot="1" x14ac:dyDescent="0.4">
      <c r="A16" s="282"/>
      <c r="B16" s="282"/>
      <c r="C16" s="282"/>
      <c r="D16" s="282"/>
      <c r="E16" s="282"/>
      <c r="F16" s="283"/>
      <c r="G16" s="283"/>
      <c r="H16" s="280"/>
      <c r="I16" s="84" t="s">
        <v>1</v>
      </c>
      <c r="J16" s="84" t="s">
        <v>2</v>
      </c>
      <c r="K16" s="246"/>
      <c r="L16" s="247"/>
      <c r="N16" s="184" t="str">
        <f>IF($I$17/$H$58 &gt; 1, CONCATENATE("Noch ",TEXT(($I$17-$H$58)*24,"#,0")), "" )</f>
        <v/>
      </c>
    </row>
    <row r="17" spans="1:14" ht="13.5" thickBot="1" x14ac:dyDescent="0.35">
      <c r="A17" s="282"/>
      <c r="B17" s="282"/>
      <c r="C17" s="282"/>
      <c r="D17" s="282"/>
      <c r="E17" s="282"/>
      <c r="F17" s="283"/>
      <c r="G17" s="283"/>
      <c r="H17" s="280"/>
      <c r="I17" s="286">
        <f>IF(Mantelbogen!D26=I11,Mantelbogen!C28,Feb!I50)</f>
        <v>0.18750000000000033</v>
      </c>
      <c r="J17" s="287" t="str">
        <f>IF(Mantelbogen!D26=I11,Mantelbogen!D28,Feb!J50)</f>
        <v/>
      </c>
      <c r="K17" s="248" t="str">
        <f>IF(I17/H58 &gt; 1, I17/H58, " " )</f>
        <v xml:space="preserve"> </v>
      </c>
      <c r="L17" s="249"/>
      <c r="N17" s="185" t="str">
        <f>IF($I$17/$H$58 &gt; 1, "Überstunden", " " )</f>
        <v xml:space="preserve"> </v>
      </c>
    </row>
    <row r="18" spans="1:14" ht="13.5" thickBot="1" x14ac:dyDescent="0.35">
      <c r="A18" s="282"/>
      <c r="B18" s="282"/>
      <c r="C18" s="282"/>
      <c r="D18" s="282"/>
      <c r="E18" s="282"/>
      <c r="F18" s="283"/>
      <c r="G18" s="283"/>
      <c r="H18" s="281"/>
      <c r="I18" s="286"/>
      <c r="J18" s="287"/>
      <c r="K18" s="250"/>
      <c r="L18" s="251"/>
      <c r="N18" s="185" t="str">
        <f>IF($I$17/$H$58 &gt; 1, "bis 01.04. abzubauen !", " " )</f>
        <v xml:space="preserve"> </v>
      </c>
    </row>
    <row r="19" spans="1:14" ht="17.399999999999999" customHeight="1" x14ac:dyDescent="0.55000000000000004">
      <c r="A19" s="86">
        <v>1</v>
      </c>
      <c r="B19" s="85" t="str">
        <f>TEXT(DATE(J$11,MONTH(I$11),A19),Textcode)</f>
        <v>Samstag</v>
      </c>
      <c r="C19" s="87">
        <v>0.35416666666666669</v>
      </c>
      <c r="D19" s="213">
        <f t="array" ref="D19">IF(AND(COUNT(SEARCH(Sonderarbeit,$N19,1))&gt;=1,$B19=Ref!$A$7),Ref!$K$1,Ref!$K$2)</f>
        <v>0.70833333333333337</v>
      </c>
      <c r="E19" s="213">
        <f t="array" ref="E19">IF(AND(COUNT(SEARCH(Sonderarbeit,$N19))&gt;=1,$B19=Ref!$A$7),,Ref!$K$3)</f>
        <v>2.0833333333333332E-2</v>
      </c>
      <c r="F19" s="270">
        <f>IF(ISTEXT(C19),,D19-C19-E19)</f>
        <v>0.33333333333333337</v>
      </c>
      <c r="G19" s="271"/>
      <c r="H19" s="88">
        <f t="shared" ref="H19:H23" si="0">IF(AND(ISTEXT(C19),ISERR(SEARCH("ausgleich",C19,1))),,INDEX(H$51:H$58,WEEKDAY(DATE(J$11,MONTH(I$11),A19),2),1,1))</f>
        <v>0</v>
      </c>
      <c r="I19" s="89" t="str">
        <f>IF(AND(F19&gt;H19,OR(AND(OR($B19&lt;&gt;Ref!$A$7,$H$56&gt;0),OR($B19&lt;&gt;Ref!$A$8,$H$57&gt;0)),COUNT(SEARCH(Sonderarbeit,$N19))&gt;=1),ISNONTEXT(C19),C19&lt;&gt;""),F19-H19,"")</f>
        <v/>
      </c>
      <c r="J19" s="90" t="str">
        <f>IF(OR(AND(F19&lt;H19,OR(AND(OR($B19&lt;&gt;Ref!$A$7,$H$56&gt;0),OR($B19&lt;&gt;Ref!$A$8,$H$57&gt;0)),COUNT(SEARCH(Sonderarbeit,$N19))&gt;=1)),C19="Ausgleich"),H19-F19,"")</f>
        <v/>
      </c>
      <c r="K19" s="170" t="str">
        <f>IF(AND(B19=Ref!$A$8,SUM(I19:I19)&lt;SUM(J19:J19)),"-","")</f>
        <v/>
      </c>
      <c r="L19" s="171" t="str">
        <f>IF(B19=Ref!$A$8,ABS(SUM(I19:I19)-SUM(J19:J19)),"")</f>
        <v/>
      </c>
      <c r="M19" s="183"/>
      <c r="N19" s="183"/>
    </row>
    <row r="20" spans="1:14" ht="17.399999999999999" customHeight="1" x14ac:dyDescent="0.55000000000000004">
      <c r="A20" s="86">
        <v>2</v>
      </c>
      <c r="B20" s="85" t="str">
        <f t="shared" ref="B20:B49" si="1">TEXT(DATE(J$11,MONTH(I$11),A20),Textcode)</f>
        <v>Sonntag</v>
      </c>
      <c r="C20" s="87">
        <v>0.35416666666666669</v>
      </c>
      <c r="D20" s="213">
        <f t="array" ref="D20">IF(AND(COUNT(SEARCH(Sonderarbeit,$N20,1))&gt;=1,$B20=Ref!$A$7),Ref!$K$1,Ref!$K$2)</f>
        <v>0.70833333333333337</v>
      </c>
      <c r="E20" s="213">
        <f t="array" ref="E20">IF(AND(COUNT(SEARCH(Sonderarbeit,$N20))&gt;=1,$B20=Ref!$A$7),,Ref!$K$3)</f>
        <v>2.0833333333333332E-2</v>
      </c>
      <c r="F20" s="270">
        <f>IF(ISTEXT(C20),,D20-C20-E20)</f>
        <v>0.33333333333333337</v>
      </c>
      <c r="G20" s="271"/>
      <c r="H20" s="88">
        <f t="shared" si="0"/>
        <v>0</v>
      </c>
      <c r="I20" s="89" t="str">
        <f>IF(AND(F20&gt;H20,OR(AND(OR($B20&lt;&gt;Ref!$A$7,$H$56&gt;0),OR($B20&lt;&gt;Ref!$A$8,$H$57&gt;0)),COUNT(SEARCH(Sonderarbeit,$N20))&gt;=1),ISNONTEXT(C20),C20&lt;&gt;""),F20-H20,"")</f>
        <v/>
      </c>
      <c r="J20" s="90" t="str">
        <f>IF(OR(AND(F20&lt;H20,OR(AND(OR($B20&lt;&gt;Ref!$A$7,$H$56&gt;0),OR($B20&lt;&gt;Ref!$A$8,$H$57&gt;0)),COUNT(SEARCH(Sonderarbeit,$N20))&gt;=1)),C20="Ausgleich"),H20-F20,"")</f>
        <v/>
      </c>
      <c r="K20" s="91" t="str">
        <f>IF(AND(B20=Ref!$A$8,SUM(I19:I20)&lt;SUM(J19:J20)),"-","")</f>
        <v/>
      </c>
      <c r="L20" s="92">
        <f>IF(B20=Ref!$A$8,ABS(SUM(I19:I20)-SUM(J19:J20)),"")</f>
        <v>0</v>
      </c>
      <c r="N20" s="183"/>
    </row>
    <row r="21" spans="1:14" ht="17.399999999999999" customHeight="1" x14ac:dyDescent="0.55000000000000004">
      <c r="A21" s="93">
        <v>3</v>
      </c>
      <c r="B21" s="85" t="str">
        <f t="shared" si="1"/>
        <v>Montag</v>
      </c>
      <c r="C21" s="87">
        <v>0.35416666666666669</v>
      </c>
      <c r="D21" s="213">
        <f t="array" ref="D21">IF(AND(COUNT(SEARCH(Sonderarbeit,$N21,1))&gt;=1,$B21=Ref!$A$7),Ref!$K$1,Ref!$K$2)</f>
        <v>0.70833333333333337</v>
      </c>
      <c r="E21" s="213">
        <f t="array" ref="E21">IF(AND(COUNT(SEARCH(Sonderarbeit,$N21))&gt;=1,$B21=Ref!$A$7),,Ref!$K$3)</f>
        <v>2.0833333333333332E-2</v>
      </c>
      <c r="F21" s="270">
        <f t="shared" ref="F21:F49" si="2">IF(ISTEXT(C21),,D21-C21-E21)</f>
        <v>0.33333333333333337</v>
      </c>
      <c r="G21" s="271"/>
      <c r="H21" s="88">
        <f t="shared" si="0"/>
        <v>0.33333333333333331</v>
      </c>
      <c r="I21" s="89" t="str">
        <f>IF(AND(F21&gt;H21,OR(AND(OR($B21&lt;&gt;Ref!$A$7,$H$56&gt;0),OR($B21&lt;&gt;Ref!$A$8,$H$57&gt;0)),COUNT(SEARCH(Sonderarbeit,$N21))&gt;=1),ISNONTEXT(C21),C21&lt;&gt;""),F21-H21,"")</f>
        <v/>
      </c>
      <c r="J21" s="90" t="str">
        <f>IF(OR(AND(F21&lt;H21,OR(AND(OR($B21&lt;&gt;Ref!$A$7,$H$56&gt;0),OR($B21&lt;&gt;Ref!$A$8,$H$57&gt;0)),COUNT(SEARCH(Sonderarbeit,$N21))&gt;=1)),C21="Ausgleich"),H21-F21,"")</f>
        <v/>
      </c>
      <c r="K21" s="91" t="str">
        <f>IF(AND(B21=Ref!$A$8,SUM(I19:I21)&lt;SUM(J19:J21)),"-","")</f>
        <v/>
      </c>
      <c r="L21" s="92" t="str">
        <f>IF(B21=Ref!$A$8,ABS(SUM(I19:I21)-SUM(J19:J21)),"")</f>
        <v/>
      </c>
      <c r="N21" s="181" t="s">
        <v>133</v>
      </c>
    </row>
    <row r="22" spans="1:14" ht="17.399999999999999" customHeight="1" x14ac:dyDescent="0.55000000000000004">
      <c r="A22" s="94">
        <v>4</v>
      </c>
      <c r="B22" s="85" t="str">
        <f t="shared" si="1"/>
        <v>Dienstag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0.33333333333333331</v>
      </c>
      <c r="I22" s="89" t="str">
        <f>IF(AND(F22&gt;H22,OR(AND(OR($B22&lt;&gt;Ref!$A$7,$H$56&gt;0),OR($B22&lt;&gt;Ref!$A$8,$H$57&gt;0)),COUNT(SEARCH(Sonderarbeit,$N22))&gt;=1),ISNONTEXT(C22),C22&lt;&gt;""),F22-H22,"")</f>
        <v/>
      </c>
      <c r="J22" s="90" t="str">
        <f>IF(OR(AND(F22&lt;H22,OR(AND(OR($B22&lt;&gt;Ref!$A$7,$H$56&gt;0),OR($B22&lt;&gt;Ref!$A$8,$H$57&gt;0)),COUNT(SEARCH(Sonderarbeit,$N22))&gt;=1)),C22="Ausgleich"),H22-F22,"")</f>
        <v/>
      </c>
      <c r="K22" s="91" t="str">
        <f>IF(AND(B22=Ref!$A$8,SUM(I19:I22)&lt;SUM(J19:J22)),"-","")</f>
        <v/>
      </c>
      <c r="L22" s="92" t="str">
        <f>IF(B22=Ref!$A$8,ABS(SUM(I19:I22)-SUM(J19:J22)),"")</f>
        <v/>
      </c>
      <c r="N22" s="181" t="s">
        <v>83</v>
      </c>
    </row>
    <row r="23" spans="1:14" ht="17.399999999999999" customHeight="1" x14ac:dyDescent="0.55000000000000004">
      <c r="A23" s="94">
        <v>5</v>
      </c>
      <c r="B23" s="85" t="str">
        <f t="shared" si="1"/>
        <v>Mittwoch</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0.33333333333333331</v>
      </c>
      <c r="I23" s="89" t="str">
        <f>IF(AND(F23&gt;H23,OR(AND(OR($B23&lt;&gt;Ref!$A$7,$H$56&gt;0),OR($B23&lt;&gt;Ref!$A$8,$H$57&gt;0)),COUNT(SEARCH(Sonderarbeit,$N23))&gt;=1),ISNONTEXT(C23),C23&lt;&gt;""),F23-H23,"")</f>
        <v/>
      </c>
      <c r="J23" s="90" t="str">
        <f>IF(OR(AND(F23&lt;H23,OR(AND(OR($B23&lt;&gt;Ref!$A$7,$H$56&gt;0),OR($B23&lt;&gt;Ref!$A$8,$H$57&gt;0)),COUNT(SEARCH(Sonderarbeit,$N23))&gt;=1)),C23="Ausgleich"),H23-F23,"")</f>
        <v/>
      </c>
      <c r="K23" s="91" t="str">
        <f>IF(AND(B23=Ref!$A$8,SUM(I19:I23)&lt;SUM(J19:J23)),"-","")</f>
        <v/>
      </c>
      <c r="L23" s="92" t="str">
        <f>IF(B23=Ref!$A$8,ABS(SUM(I19:I23)-SUM(J19:J23)),"")</f>
        <v/>
      </c>
      <c r="N23" s="183"/>
    </row>
    <row r="24" spans="1:14" ht="17.399999999999999" customHeight="1" x14ac:dyDescent="0.55000000000000004">
      <c r="A24" s="86">
        <v>6</v>
      </c>
      <c r="B24" s="85" t="str">
        <f t="shared" si="1"/>
        <v>Donnerstag</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IF(AND(ISTEXT(C24),ISERR(SEARCH("ausgleich",C24,1))),,INDEX(H$51:H$58,WEEKDAY(DATE(J$11,MONTH(I$11),A24),2),1,1))</f>
        <v>0.33333333333333331</v>
      </c>
      <c r="I24" s="89" t="str">
        <f>IF(AND(F24&gt;H24,OR(AND(OR($B24&lt;&gt;Ref!$A$7,$H$56&gt;0),OR($B24&lt;&gt;Ref!$A$8,$H$57&gt;0)),COUNT(SEARCH(Sonderarbeit,$N24))&gt;=1),ISNONTEXT(C24),C24&lt;&gt;""),F24-H24,"")</f>
        <v/>
      </c>
      <c r="J24" s="90" t="str">
        <f>IF(OR(AND(F24&lt;H24,OR(AND(OR($B24&lt;&gt;Ref!$A$7,$H$56&gt;0),OR($B24&lt;&gt;Ref!$A$8,$H$57&gt;0)),COUNT(SEARCH(Sonderarbeit,$N24))&gt;=1)),C24="Ausgleich"),H24-F24,"")</f>
        <v/>
      </c>
      <c r="K24" s="91" t="str">
        <f>IF(AND(B24=Ref!$A$8,SUM(I19:I24)&lt;SUM(J19:J24)),"-","")</f>
        <v/>
      </c>
      <c r="L24" s="92" t="str">
        <f>IF(B24=Ref!$A$8,ABS(SUM(I19:I24)-SUM(J19:J24)),"")</f>
        <v/>
      </c>
      <c r="N24" s="183"/>
    </row>
    <row r="25" spans="1:14" ht="17.399999999999999" customHeight="1" x14ac:dyDescent="0.55000000000000004">
      <c r="A25" s="94">
        <v>7</v>
      </c>
      <c r="B25" s="85" t="str">
        <f t="shared" si="1"/>
        <v>Freitag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ref="H25:H49" si="3">IF(AND(ISTEXT(C25),ISERR(SEARCH("ausgleich",C25,1))),,INDEX(H$51:H$58,WEEKDAY(DATE(J$11,MONTH(I$11),A25),2),1,1))</f>
        <v>0.3125</v>
      </c>
      <c r="I25" s="89">
        <f>IF(AND(F25&gt;H25,OR(AND(OR($B25&lt;&gt;Ref!$A$7,$H$56&gt;0),OR($B25&lt;&gt;Ref!$A$8,$H$57&gt;0)),COUNT(SEARCH(Sonderarbeit,$N25))&gt;=1),ISNONTEXT(C25),C25&lt;&gt;""),F25-H25,"")</f>
        <v>2.083333333333337E-2</v>
      </c>
      <c r="J25" s="90" t="str">
        <f>IF(OR(AND(F25&lt;H25,OR(AND(OR($B25&lt;&gt;Ref!$A$7,$H$56&gt;0),OR($B25&lt;&gt;Ref!$A$8,$H$57&gt;0)),COUNT(SEARCH(Sonderarbeit,$N25))&gt;=1)),C25="Ausgleich"),H25-F25,"")</f>
        <v/>
      </c>
      <c r="K25" s="91" t="str">
        <f>IF(AND(B25=Ref!$A$8,SUM(I19:I25)&lt;SUM(J19:J25)),"-","")</f>
        <v/>
      </c>
      <c r="L25" s="92" t="str">
        <f>IF(B25=Ref!$A$8,ABS(SUM(I19:I25)-SUM(J19:J25)),"")</f>
        <v/>
      </c>
      <c r="N25" s="181" t="s">
        <v>134</v>
      </c>
    </row>
    <row r="26" spans="1:14" ht="17.399999999999999" customHeight="1" x14ac:dyDescent="0.55000000000000004">
      <c r="A26" s="94">
        <v>8</v>
      </c>
      <c r="B26" s="85" t="str">
        <f t="shared" si="1"/>
        <v>Samstag</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3"/>
        <v>0</v>
      </c>
      <c r="I26" s="89" t="str">
        <f>IF(AND(F26&gt;H26,OR(AND(OR($B26&lt;&gt;Ref!$A$7,$H$56&gt;0),OR($B26&lt;&gt;Ref!$A$8,$H$57&gt;0)),COUNT(SEARCH(Sonderarbeit,$N26))&gt;=1),ISNONTEXT(C26),C26&lt;&gt;""),F26-H26,"")</f>
        <v/>
      </c>
      <c r="J26" s="90" t="str">
        <f>IF(OR(AND(F26&lt;H26,OR(AND(OR($B26&lt;&gt;Ref!$A$7,$H$56&gt;0),OR($B26&lt;&gt;Ref!$A$8,$H$57&gt;0)),COUNT(SEARCH(Sonderarbeit,$N26))&gt;=1)),C26="Ausgleich"),H26-F26,"")</f>
        <v/>
      </c>
      <c r="K26" s="91" t="str">
        <f>IF(AND(B26=Ref!$A$8,SUM(I20:I26)&lt;SUM(J20:J26)),"-","")</f>
        <v/>
      </c>
      <c r="L26" s="92" t="str">
        <f>IF(B26=Ref!$A$8,ABS(SUM(I20:I26)-SUM(J20:J26)),"")</f>
        <v/>
      </c>
      <c r="M26" s="183"/>
      <c r="N26" s="183"/>
    </row>
    <row r="27" spans="1:14" ht="17.399999999999999" customHeight="1" x14ac:dyDescent="0.55000000000000004">
      <c r="A27" s="86">
        <v>9</v>
      </c>
      <c r="B27" s="85" t="str">
        <f t="shared" si="1"/>
        <v>Sonntag</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3"/>
        <v>0</v>
      </c>
      <c r="I27" s="89" t="str">
        <f>IF(AND(F27&gt;H27,OR(AND(OR($B27&lt;&gt;Ref!$A$7,$H$56&gt;0),OR($B27&lt;&gt;Ref!$A$8,$H$57&gt;0)),COUNT(SEARCH(Sonderarbeit,$N27))&gt;=1),ISNONTEXT(C27),C27&lt;&gt;""),F27-H27,"")</f>
        <v/>
      </c>
      <c r="J27" s="90" t="str">
        <f>IF(OR(AND(F27&lt;H27,OR(AND(OR($B27&lt;&gt;Ref!$A$7,$H$56&gt;0),OR($B27&lt;&gt;Ref!$A$8,$H$57&gt;0)),COUNT(SEARCH(Sonderarbeit,$N27))&gt;=1)),C27="Ausgleich"),H27-F27,"")</f>
        <v/>
      </c>
      <c r="K27" s="91" t="str">
        <f>IF(AND(B27=Ref!$A$8,SUM(I21:I27)&lt;SUM(J21:J27)),"-","")</f>
        <v/>
      </c>
      <c r="L27" s="92">
        <f>IF(B27=Ref!$A$8,ABS(SUM(I21:I27)-SUM(J21:J27)),"")</f>
        <v>2.083333333333337E-2</v>
      </c>
      <c r="M27" s="183"/>
      <c r="N27" s="183"/>
    </row>
    <row r="28" spans="1:14" ht="17.399999999999999" customHeight="1" x14ac:dyDescent="0.55000000000000004">
      <c r="A28" s="86">
        <v>10</v>
      </c>
      <c r="B28" s="85" t="str">
        <f t="shared" si="1"/>
        <v>Montag</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3"/>
        <v>0.33333333333333331</v>
      </c>
      <c r="I28" s="89" t="str">
        <f>IF(AND(F28&gt;H28,OR(AND(OR($B28&lt;&gt;Ref!$A$7,$H$56&gt;0),OR($B28&lt;&gt;Ref!$A$8,$H$57&gt;0)),COUNT(SEARCH(Sonderarbeit,$N28))&gt;=1),ISNONTEXT(C28),C28&lt;&gt;""),F28-H28,"")</f>
        <v/>
      </c>
      <c r="J28" s="90" t="str">
        <f>IF(OR(AND(F28&lt;H28,OR(AND(OR($B28&lt;&gt;Ref!$A$7,$H$56&gt;0),OR($B28&lt;&gt;Ref!$A$8,$H$57&gt;0)),COUNT(SEARCH(Sonderarbeit,$N28))&gt;=1)),C28="Ausgleich"),H28-F28,"")</f>
        <v/>
      </c>
      <c r="K28" s="91" t="str">
        <f>IF(AND(B28=Ref!$A$8,SUM(I22:I28)&lt;SUM(J22:J28)),"-","")</f>
        <v/>
      </c>
      <c r="L28" s="92" t="str">
        <f>IF(B28=Ref!$A$8,ABS(SUM(I22:I28)-SUM(J22:J28)),"")</f>
        <v/>
      </c>
      <c r="M28" s="183"/>
      <c r="N28" s="183"/>
    </row>
    <row r="29" spans="1:14" ht="17.399999999999999" customHeight="1" x14ac:dyDescent="0.55000000000000004">
      <c r="A29" s="94">
        <v>11</v>
      </c>
      <c r="B29" s="85" t="str">
        <f t="shared" si="1"/>
        <v>Dienstag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3"/>
        <v>0.33333333333333331</v>
      </c>
      <c r="I29" s="89" t="str">
        <f>IF(AND(F29&gt;H29,OR(AND(OR($B29&lt;&gt;Ref!$A$7,$H$56&gt;0),OR($B29&lt;&gt;Ref!$A$8,$H$57&gt;0)),COUNT(SEARCH(Sonderarbeit,$N29))&gt;=1),ISNONTEXT(C29),C29&lt;&gt;""),F29-H29,"")</f>
        <v/>
      </c>
      <c r="J29" s="90" t="str">
        <f>IF(OR(AND(F29&lt;H29,OR(AND(OR($B29&lt;&gt;Ref!$A$7,$H$56&gt;0),OR($B29&lt;&gt;Ref!$A$8,$H$57&gt;0)),COUNT(SEARCH(Sonderarbeit,$N29))&gt;=1)),C29="Ausgleich"),H29-F29,"")</f>
        <v/>
      </c>
      <c r="K29" s="91" t="str">
        <f>IF(AND(B29=Ref!$A$8,SUM(I23:I29)&lt;SUM(J23:J29)),"-","")</f>
        <v/>
      </c>
      <c r="L29" s="92" t="str">
        <f>IF(B29=Ref!$A$8,ABS(SUM(I23:I29)-SUM(J23:J29)),"")</f>
        <v/>
      </c>
      <c r="N29" s="183"/>
    </row>
    <row r="30" spans="1:14" ht="17.399999999999999" customHeight="1" x14ac:dyDescent="0.55000000000000004">
      <c r="A30" s="94">
        <v>12</v>
      </c>
      <c r="B30" s="85" t="str">
        <f t="shared" si="1"/>
        <v>Mittwoch</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3"/>
        <v>0.33333333333333331</v>
      </c>
      <c r="I30" s="89" t="str">
        <f>IF(AND(F30&gt;H30,OR(AND(OR($B30&lt;&gt;Ref!$A$7,$H$56&gt;0),OR($B30&lt;&gt;Ref!$A$8,$H$57&gt;0)),COUNT(SEARCH(Sonderarbeit,$N30))&gt;=1),ISNONTEXT(C30),C30&lt;&gt;""),F30-H30,"")</f>
        <v/>
      </c>
      <c r="J30" s="90" t="str">
        <f>IF(OR(AND(F30&lt;H30,OR(AND(OR($B30&lt;&gt;Ref!$A$7,$H$56&gt;0),OR($B30&lt;&gt;Ref!$A$8,$H$57&gt;0)),COUNT(SEARCH(Sonderarbeit,$N30))&gt;=1)),C30="Ausgleich"),H30-F30,"")</f>
        <v/>
      </c>
      <c r="K30" s="91" t="str">
        <f>IF(AND(B30=Ref!$A$8,SUM(I24:I30)&lt;SUM(J24:J30)),"-","")</f>
        <v/>
      </c>
      <c r="L30" s="92" t="str">
        <f>IF(B30=Ref!$A$8,ABS(SUM(I24:I30)-SUM(J24:J30)),"")</f>
        <v/>
      </c>
      <c r="N30" s="183"/>
    </row>
    <row r="31" spans="1:14" ht="17.399999999999999" customHeight="1" x14ac:dyDescent="0.55000000000000004">
      <c r="A31" s="94">
        <v>13</v>
      </c>
      <c r="B31" s="85" t="str">
        <f t="shared" si="1"/>
        <v>Donnerstag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3"/>
        <v>0.33333333333333331</v>
      </c>
      <c r="I31" s="89" t="str">
        <f>IF(AND(F31&gt;H31,OR(AND(OR($B31&lt;&gt;Ref!$A$7,$H$56&gt;0),OR($B31&lt;&gt;Ref!$A$8,$H$57&gt;0)),COUNT(SEARCH(Sonderarbeit,$N31))&gt;=1),ISNONTEXT(C31),C31&lt;&gt;""),F31-H31,"")</f>
        <v/>
      </c>
      <c r="J31" s="90" t="str">
        <f>IF(OR(AND(F31&lt;H31,OR(AND(OR($B31&lt;&gt;Ref!$A$7,$H$56&gt;0),OR($B31&lt;&gt;Ref!$A$8,$H$57&gt;0)),COUNT(SEARCH(Sonderarbeit,$N31))&gt;=1)),C31="Ausgleich"),H31-F31,"")</f>
        <v/>
      </c>
      <c r="K31" s="91" t="str">
        <f>IF(AND(B31=Ref!$A$8,SUM(I25:I31)&lt;SUM(J25:J31)),"-","")</f>
        <v/>
      </c>
      <c r="L31" s="92" t="str">
        <f>IF(B31=Ref!$A$8,ABS(SUM(I25:I31)-SUM(J25:J31)),"")</f>
        <v/>
      </c>
      <c r="N31" s="183"/>
    </row>
    <row r="32" spans="1:14" ht="17.399999999999999" customHeight="1" x14ac:dyDescent="0.55000000000000004">
      <c r="A32" s="94">
        <v>14</v>
      </c>
      <c r="B32" s="85" t="str">
        <f t="shared" si="1"/>
        <v>Freitag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3"/>
        <v>0.3125</v>
      </c>
      <c r="I32" s="89">
        <f>IF(AND(F32&gt;H32,OR(AND(OR($B32&lt;&gt;Ref!$A$7,$H$56&gt;0),OR($B32&lt;&gt;Ref!$A$8,$H$57&gt;0)),COUNT(SEARCH(Sonderarbeit,$N32))&gt;=1),ISNONTEXT(C32),C32&lt;&gt;""),F32-H32,"")</f>
        <v>2.083333333333337E-2</v>
      </c>
      <c r="J32" s="90" t="str">
        <f>IF(OR(AND(F32&lt;H32,OR(AND(OR($B32&lt;&gt;Ref!$A$7,$H$56&gt;0),OR($B32&lt;&gt;Ref!$A$8,$H$57&gt;0)),COUNT(SEARCH(Sonderarbeit,$N32))&gt;=1)),C32="Ausgleich"),H32-F32,"")</f>
        <v/>
      </c>
      <c r="K32" s="91" t="str">
        <f>IF(AND(B32=Ref!$A$8,SUM(I26:I32)&lt;SUM(J26:J32)),"-","")</f>
        <v/>
      </c>
      <c r="L32" s="92" t="str">
        <f>IF(B32=Ref!$A$8,ABS(SUM(I26:I32)-SUM(J26:J32)),"")</f>
        <v/>
      </c>
      <c r="N32" s="183"/>
    </row>
    <row r="33" spans="1:14" ht="17.399999999999999" customHeight="1" x14ac:dyDescent="0.55000000000000004">
      <c r="A33" s="86">
        <v>15</v>
      </c>
      <c r="B33" s="85" t="str">
        <f t="shared" si="1"/>
        <v>Samstag</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3"/>
        <v>0</v>
      </c>
      <c r="I33" s="89" t="str">
        <f>IF(AND(F33&gt;H33,OR(AND(OR($B33&lt;&gt;Ref!$A$7,$H$56&gt;0),OR($B33&lt;&gt;Ref!$A$8,$H$57&gt;0)),COUNT(SEARCH(Sonderarbeit,$N33))&gt;=1),ISNONTEXT(C33),C33&lt;&gt;""),F33-H33,"")</f>
        <v/>
      </c>
      <c r="J33" s="90" t="str">
        <f>IF(OR(AND(F33&lt;H33,OR(AND(OR($B33&lt;&gt;Ref!$A$7,$H$56&gt;0),OR($B33&lt;&gt;Ref!$A$8,$H$57&gt;0)),COUNT(SEARCH(Sonderarbeit,$N33))&gt;=1)),C33="Ausgleich"),H33-F33,"")</f>
        <v/>
      </c>
      <c r="K33" s="91" t="str">
        <f>IF(AND(B33=Ref!$A$8,SUM(I27:I33)&lt;SUM(J27:J33)),"-","")</f>
        <v/>
      </c>
      <c r="L33" s="92" t="str">
        <f>IF(B33=Ref!$A$8,ABS(SUM(I27:I33)-SUM(J27:J33)),"")</f>
        <v/>
      </c>
      <c r="N33" s="183"/>
    </row>
    <row r="34" spans="1:14" ht="17.399999999999999" customHeight="1" x14ac:dyDescent="0.55000000000000004">
      <c r="A34" s="86">
        <v>16</v>
      </c>
      <c r="B34" s="85" t="str">
        <f t="shared" si="1"/>
        <v>Sonntag</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3"/>
        <v>0</v>
      </c>
      <c r="I34" s="89" t="str">
        <f>IF(AND(F34&gt;H34,OR(AND(OR($B34&lt;&gt;Ref!$A$7,$H$56&gt;0),OR($B34&lt;&gt;Ref!$A$8,$H$57&gt;0)),COUNT(SEARCH(Sonderarbeit,$N34))&gt;=1),ISNONTEXT(C34),C34&lt;&gt;""),F34-H34,"")</f>
        <v/>
      </c>
      <c r="J34" s="90" t="str">
        <f>IF(OR(AND(F34&lt;H34,OR(AND(OR($B34&lt;&gt;Ref!$A$7,$H$56&gt;0),OR($B34&lt;&gt;Ref!$A$8,$H$57&gt;0)),COUNT(SEARCH(Sonderarbeit,$N34))&gt;=1)),C34="Ausgleich"),H34-F34,"")</f>
        <v/>
      </c>
      <c r="K34" s="91" t="str">
        <f>IF(AND(B34=Ref!$A$8,SUM(I28:I34)&lt;SUM(J28:J34)),"-","")</f>
        <v/>
      </c>
      <c r="L34" s="92">
        <f>IF(B34=Ref!$A$8,ABS(SUM(I28:I34)-SUM(J28:J34)),"")</f>
        <v>2.083333333333337E-2</v>
      </c>
      <c r="N34" s="183"/>
    </row>
    <row r="35" spans="1:14" ht="17.399999999999999" customHeight="1" x14ac:dyDescent="0.55000000000000004">
      <c r="A35" s="86">
        <v>17</v>
      </c>
      <c r="B35" s="85" t="str">
        <f t="shared" si="1"/>
        <v>Montag</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3"/>
        <v>0.33333333333333331</v>
      </c>
      <c r="I35" s="89" t="str">
        <f>IF(AND(F35&gt;H35,OR(AND(OR($B35&lt;&gt;Ref!$A$7,$H$56&gt;0),OR($B35&lt;&gt;Ref!$A$8,$H$57&gt;0)),COUNT(SEARCH(Sonderarbeit,$N35))&gt;=1),ISNONTEXT(C35),C35&lt;&gt;""),F35-H35,"")</f>
        <v/>
      </c>
      <c r="J35" s="90" t="str">
        <f>IF(OR(AND(F35&lt;H35,OR(AND(OR($B35&lt;&gt;Ref!$A$7,$H$56&gt;0),OR($B35&lt;&gt;Ref!$A$8,$H$57&gt;0)),COUNT(SEARCH(Sonderarbeit,$N35))&gt;=1)),C35="Ausgleich"),H35-F35,"")</f>
        <v/>
      </c>
      <c r="K35" s="91" t="str">
        <f>IF(AND(B35=Ref!$A$8,SUM(I29:I35)&lt;SUM(J29:J35)),"-","")</f>
        <v/>
      </c>
      <c r="L35" s="92" t="str">
        <f>IF(B35=Ref!$A$8,ABS(SUM(I29:I35)-SUM(J29:J35)),"")</f>
        <v/>
      </c>
      <c r="N35" s="183"/>
    </row>
    <row r="36" spans="1:14" ht="17.399999999999999" customHeight="1" x14ac:dyDescent="0.55000000000000004">
      <c r="A36" s="86">
        <v>18</v>
      </c>
      <c r="B36" s="85" t="str">
        <f t="shared" si="1"/>
        <v>Dienstag</v>
      </c>
      <c r="C36" s="87">
        <v>0.35416666666666669</v>
      </c>
      <c r="D36" s="213">
        <f t="array" ref="D36">IF(AND(COUNT(SEARCH(Sonderarbeit,$N36,1))&gt;=1,$B36=Ref!$A$7),Ref!$K$1,Ref!$K$2)</f>
        <v>0.70833333333333337</v>
      </c>
      <c r="E36" s="213">
        <f t="array" ref="E36">IF(AND(COUNT(SEARCH(Sonderarbeit,$N36))&gt;=1,$B36=Ref!$A$7),,Ref!$K$3)</f>
        <v>2.0833333333333332E-2</v>
      </c>
      <c r="F36" s="270">
        <f t="shared" si="2"/>
        <v>0.33333333333333337</v>
      </c>
      <c r="G36" s="271"/>
      <c r="H36" s="88">
        <f t="shared" si="3"/>
        <v>0.33333333333333331</v>
      </c>
      <c r="I36" s="89" t="str">
        <f>IF(AND(F36&gt;H36,OR(AND(OR($B36&lt;&gt;Ref!$A$7,$H$56&gt;0),OR($B36&lt;&gt;Ref!$A$8,$H$57&gt;0)),COUNT(SEARCH(Sonderarbeit,$N36))&gt;=1),ISNONTEXT(C36),C36&lt;&gt;""),F36-H36,"")</f>
        <v/>
      </c>
      <c r="J36" s="90" t="str">
        <f>IF(OR(AND(F36&lt;H36,OR(AND(OR($B36&lt;&gt;Ref!$A$7,$H$56&gt;0),OR($B36&lt;&gt;Ref!$A$8,$H$57&gt;0)),COUNT(SEARCH(Sonderarbeit,$N36))&gt;=1)),C36="Ausgleich"),H36-F36,"")</f>
        <v/>
      </c>
      <c r="K36" s="91" t="str">
        <f>IF(AND(B36=Ref!$A$8,SUM(I30:I36)&lt;SUM(J30:J36)),"-","")</f>
        <v/>
      </c>
      <c r="L36" s="92" t="str">
        <f>IF(B36=Ref!$A$8,ABS(SUM(I30:I36)-SUM(J30:J36)),"")</f>
        <v/>
      </c>
      <c r="N36" s="183"/>
    </row>
    <row r="37" spans="1:14" ht="17.399999999999999" customHeight="1" x14ac:dyDescent="0.55000000000000004">
      <c r="A37" s="86">
        <v>19</v>
      </c>
      <c r="B37" s="85" t="str">
        <f t="shared" si="1"/>
        <v>Mittwoch</v>
      </c>
      <c r="C37" s="87">
        <v>0.35416666666666669</v>
      </c>
      <c r="D37" s="213">
        <f t="array" ref="D37">IF(AND(COUNT(SEARCH(Sonderarbeit,$N37,1))&gt;=1,$B37=Ref!$A$7),Ref!$K$1,Ref!$K$2)</f>
        <v>0.70833333333333337</v>
      </c>
      <c r="E37" s="213">
        <f t="array" ref="E37">IF(AND(COUNT(SEARCH(Sonderarbeit,$N37))&gt;=1,$B37=Ref!$A$7),,Ref!$K$3)</f>
        <v>2.0833333333333332E-2</v>
      </c>
      <c r="F37" s="270">
        <f t="shared" si="2"/>
        <v>0.33333333333333337</v>
      </c>
      <c r="G37" s="271"/>
      <c r="H37" s="88">
        <f t="shared" si="3"/>
        <v>0.33333333333333331</v>
      </c>
      <c r="I37" s="89" t="str">
        <f>IF(AND(F37&gt;H37,OR(AND(OR($B37&lt;&gt;Ref!$A$7,$H$56&gt;0),OR($B37&lt;&gt;Ref!$A$8,$H$57&gt;0)),COUNT(SEARCH(Sonderarbeit,$N37))&gt;=1),ISNONTEXT(C37),C37&lt;&gt;""),F37-H37,"")</f>
        <v/>
      </c>
      <c r="J37" s="90" t="str">
        <f>IF(OR(AND(F37&lt;H37,OR(AND(OR($B37&lt;&gt;Ref!$A$7,$H$56&gt;0),OR($B37&lt;&gt;Ref!$A$8,$H$57&gt;0)),COUNT(SEARCH(Sonderarbeit,$N37))&gt;=1)),C37="Ausgleich"),H37-F37,"")</f>
        <v/>
      </c>
      <c r="K37" s="91" t="str">
        <f>IF(AND(B37=Ref!$A$8,SUM(I31:I37)&lt;SUM(J31:J37)),"-","")</f>
        <v/>
      </c>
      <c r="L37" s="92" t="str">
        <f>IF(B37=Ref!$A$8,ABS(SUM(I31:I37)-SUM(J31:J37)),"")</f>
        <v/>
      </c>
      <c r="N37" s="183"/>
    </row>
    <row r="38" spans="1:14" ht="17.399999999999999" customHeight="1" x14ac:dyDescent="0.55000000000000004">
      <c r="A38" s="86">
        <v>20</v>
      </c>
      <c r="B38" s="85" t="str">
        <f t="shared" si="1"/>
        <v>Donnerstag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0.33333333333333331</v>
      </c>
      <c r="I38" s="89" t="str">
        <f>IF(AND(F38&gt;H38,OR(AND(OR($B38&lt;&gt;Ref!$A$7,$H$56&gt;0),OR($B38&lt;&gt;Ref!$A$8,$H$57&gt;0)),COUNT(SEARCH(Sonderarbeit,$N38))&gt;=1),ISNONTEXT(C38),C38&lt;&gt;""),F38-H38,"")</f>
        <v/>
      </c>
      <c r="J38" s="90" t="str">
        <f>IF(OR(AND(F38&lt;H38,OR(AND(OR($B38&lt;&gt;Ref!$A$7,$H$56&gt;0),OR($B38&lt;&gt;Ref!$A$8,$H$57&gt;0)),COUNT(SEARCH(Sonderarbeit,$N38))&gt;=1)),C38="Ausgleich"),H38-F38,"")</f>
        <v/>
      </c>
      <c r="K38" s="91" t="str">
        <f>IF(AND(B38=Ref!$A$8,SUM(I32:I38)&lt;SUM(J32:J38)),"-","")</f>
        <v/>
      </c>
      <c r="L38" s="92" t="str">
        <f>IF(B38=Ref!$A$8,ABS(SUM(I32:I38)-SUM(J32:J38)),"")</f>
        <v/>
      </c>
      <c r="N38" s="183"/>
    </row>
    <row r="39" spans="1:14" ht="17.399999999999999" customHeight="1" x14ac:dyDescent="0.55000000000000004">
      <c r="A39" s="86">
        <v>21</v>
      </c>
      <c r="B39" s="85" t="str">
        <f t="shared" si="1"/>
        <v>Freitag</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3"/>
        <v>0.3125</v>
      </c>
      <c r="I39" s="89">
        <f>IF(AND(F39&gt;H39,OR(AND(OR($B39&lt;&gt;Ref!$A$7,$H$56&gt;0),OR($B39&lt;&gt;Ref!$A$8,$H$57&gt;0)),COUNT(SEARCH(Sonderarbeit,$N39))&gt;=1),ISNONTEXT(C39),C39&lt;&gt;""),F39-H39,"")</f>
        <v>2.083333333333337E-2</v>
      </c>
      <c r="J39" s="90" t="str">
        <f>IF(OR(AND(F39&lt;H39,OR(AND(OR($B39&lt;&gt;Ref!$A$7,$H$56&gt;0),OR($B39&lt;&gt;Ref!$A$8,$H$57&gt;0)),COUNT(SEARCH(Sonderarbeit,$N39))&gt;=1)),C39="Ausgleich"),H39-F39,"")</f>
        <v/>
      </c>
      <c r="K39" s="91" t="str">
        <f>IF(AND(B39=Ref!$A$8,SUM(I33:I39)&lt;SUM(J33:J39)),"-","")</f>
        <v/>
      </c>
      <c r="L39" s="92" t="str">
        <f>IF(B39=Ref!$A$8,ABS(SUM(I33:I39)-SUM(J33:J39)),"")</f>
        <v/>
      </c>
      <c r="N39" s="183"/>
    </row>
    <row r="40" spans="1:14" ht="17.399999999999999" customHeight="1" x14ac:dyDescent="0.55000000000000004">
      <c r="A40" s="86">
        <v>22</v>
      </c>
      <c r="B40" s="85" t="str">
        <f t="shared" si="1"/>
        <v>Samstag</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v>
      </c>
      <c r="I40" s="89" t="str">
        <f>IF(AND(F40&gt;H40,OR(AND(OR($B40&lt;&gt;Ref!$A$7,$H$56&gt;0),OR($B40&lt;&gt;Ref!$A$8,$H$57&gt;0)),COUNT(SEARCH(Sonderarbeit,$N40))&gt;=1),ISNONTEXT(C40),C40&lt;&gt;""),F40-H40,"")</f>
        <v/>
      </c>
      <c r="J40" s="90" t="str">
        <f>IF(OR(AND(F40&lt;H40,OR(AND(OR($B40&lt;&gt;Ref!$A$7,$H$56&gt;0),OR($B40&lt;&gt;Ref!$A$8,$H$57&gt;0)),COUNT(SEARCH(Sonderarbeit,$N40))&gt;=1)),C40="Ausgleich"),H40-F40,"")</f>
        <v/>
      </c>
      <c r="K40" s="91" t="str">
        <f>IF(AND(B40=Ref!$A$8,SUM(I34:I40)&lt;SUM(J34:J40)),"-","")</f>
        <v/>
      </c>
      <c r="L40" s="92" t="str">
        <f>IF(B40=Ref!$A$8,ABS(SUM(I34:I40)-SUM(J34:J40)),"")</f>
        <v/>
      </c>
      <c r="N40" s="183"/>
    </row>
    <row r="41" spans="1:14" ht="17.399999999999999" customHeight="1" x14ac:dyDescent="0.55000000000000004">
      <c r="A41" s="86">
        <v>23</v>
      </c>
      <c r="B41" s="85" t="str">
        <f t="shared" si="1"/>
        <v>Sonntag</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v>
      </c>
      <c r="I41" s="89" t="str">
        <f>IF(AND(F41&gt;H41,OR(AND(OR($B41&lt;&gt;Ref!$A$7,$H$56&gt;0),OR($B41&lt;&gt;Ref!$A$8,$H$57&gt;0)),COUNT(SEARCH(Sonderarbeit,$N41))&gt;=1),ISNONTEXT(C41),C41&lt;&gt;""),F41-H41,"")</f>
        <v/>
      </c>
      <c r="J41" s="90" t="str">
        <f>IF(OR(AND(F41&lt;H41,OR(AND(OR($B41&lt;&gt;Ref!$A$7,$H$56&gt;0),OR($B41&lt;&gt;Ref!$A$8,$H$57&gt;0)),COUNT(SEARCH(Sonderarbeit,$N41))&gt;=1)),C41="Ausgleich"),H41-F41,"")</f>
        <v/>
      </c>
      <c r="K41" s="91" t="str">
        <f>IF(AND(B41=Ref!$A$8,SUM(I35:I41)&lt;SUM(J35:J41)),"-","")</f>
        <v/>
      </c>
      <c r="L41" s="92">
        <f>IF(B41=Ref!$A$8,ABS(SUM(I35:I41)-SUM(J35:J41)),"")</f>
        <v>2.083333333333337E-2</v>
      </c>
      <c r="N41" s="181"/>
    </row>
    <row r="42" spans="1:14" ht="17.399999999999999" customHeight="1" x14ac:dyDescent="0.55000000000000004">
      <c r="A42" s="86">
        <v>24</v>
      </c>
      <c r="B42" s="85" t="str">
        <f t="shared" si="1"/>
        <v>Montag</v>
      </c>
      <c r="C42" s="87">
        <v>0.35416666666666669</v>
      </c>
      <c r="D42" s="213">
        <f t="array" ref="D42">IF(AND(COUNT(SEARCH(Sonderarbeit,$N42,1))&gt;=1,$B42=Ref!$A$7),Ref!$K$1,Ref!$K$2)</f>
        <v>0.70833333333333337</v>
      </c>
      <c r="E42" s="213">
        <f t="array" ref="E42">IF(AND(COUNT(SEARCH(Sonderarbeit,$N42))&gt;=1,$B42=Ref!$A$7),,Ref!$K$3)</f>
        <v>2.0833333333333332E-2</v>
      </c>
      <c r="F42" s="270">
        <f t="shared" si="2"/>
        <v>0.33333333333333337</v>
      </c>
      <c r="G42" s="271"/>
      <c r="H42" s="88">
        <f t="shared" si="3"/>
        <v>0.33333333333333331</v>
      </c>
      <c r="I42" s="89" t="str">
        <f>IF(AND(F42&gt;H42,OR(AND(OR($B42&lt;&gt;Ref!$A$7,$H$56&gt;0),OR($B42&lt;&gt;Ref!$A$8,$H$57&gt;0)),COUNT(SEARCH(Sonderarbeit,$N42))&gt;=1),ISNONTEXT(C42),C42&lt;&gt;""),F42-H42,"")</f>
        <v/>
      </c>
      <c r="J42" s="90" t="str">
        <f>IF(OR(AND(F42&lt;H42,OR(AND(OR($B42&lt;&gt;Ref!$A$7,$H$56&gt;0),OR($B42&lt;&gt;Ref!$A$8,$H$57&gt;0)),COUNT(SEARCH(Sonderarbeit,$N42))&gt;=1)),C42="Ausgleich"),H42-F42,"")</f>
        <v/>
      </c>
      <c r="K42" s="91" t="str">
        <f>IF(AND(B42=Ref!$A$8,SUM(I36:I42)&lt;SUM(J36:J42)),"-","")</f>
        <v/>
      </c>
      <c r="L42" s="92" t="str">
        <f>IF(B42=Ref!$A$8,ABS(SUM(I36:I42)-SUM(J36:J42)),"")</f>
        <v/>
      </c>
      <c r="N42" s="183"/>
    </row>
    <row r="43" spans="1:14" ht="17.399999999999999" customHeight="1" x14ac:dyDescent="0.55000000000000004">
      <c r="A43" s="86">
        <v>25</v>
      </c>
      <c r="B43" s="85" t="str">
        <f t="shared" si="1"/>
        <v>Dienstag</v>
      </c>
      <c r="C43" s="87">
        <v>0.35416666666666669</v>
      </c>
      <c r="D43" s="213">
        <f t="array" ref="D43">IF(AND(COUNT(SEARCH(Sonderarbeit,$N43,1))&gt;=1,$B43=Ref!$A$7),Ref!$K$1,Ref!$K$2)</f>
        <v>0.70833333333333337</v>
      </c>
      <c r="E43" s="213">
        <f t="array" ref="E43">IF(AND(COUNT(SEARCH(Sonderarbeit,$N43))&gt;=1,$B43=Ref!$A$7),,Ref!$K$3)</f>
        <v>2.0833333333333332E-2</v>
      </c>
      <c r="F43" s="270">
        <f t="shared" si="2"/>
        <v>0.33333333333333337</v>
      </c>
      <c r="G43" s="271"/>
      <c r="H43" s="88">
        <f t="shared" si="3"/>
        <v>0.33333333333333331</v>
      </c>
      <c r="I43" s="89" t="str">
        <f>IF(AND(F43&gt;H43,OR(AND(OR($B43&lt;&gt;Ref!$A$7,$H$56&gt;0),OR($B43&lt;&gt;Ref!$A$8,$H$57&gt;0)),COUNT(SEARCH(Sonderarbeit,$N43))&gt;=1),ISNONTEXT(C43),C43&lt;&gt;""),F43-H43,"")</f>
        <v/>
      </c>
      <c r="J43" s="90" t="str">
        <f>IF(OR(AND(F43&lt;H43,OR(AND(OR($B43&lt;&gt;Ref!$A$7,$H$56&gt;0),OR($B43&lt;&gt;Ref!$A$8,$H$57&gt;0)),COUNT(SEARCH(Sonderarbeit,$N43))&gt;=1)),C43="Ausgleich"),H43-F43,"")</f>
        <v/>
      </c>
      <c r="K43" s="91" t="str">
        <f>IF(AND(B43=Ref!$A$8,SUM(I37:I43)&lt;SUM(J37:J43)),"-","")</f>
        <v/>
      </c>
      <c r="L43" s="92" t="str">
        <f>IF(B43=Ref!$A$8,ABS(SUM(I37:I43)-SUM(J37:J43)),"")</f>
        <v/>
      </c>
      <c r="M43" s="187"/>
      <c r="N43" s="183"/>
    </row>
    <row r="44" spans="1:14" ht="17.399999999999999" customHeight="1" x14ac:dyDescent="0.55000000000000004">
      <c r="A44" s="86">
        <v>26</v>
      </c>
      <c r="B44" s="85" t="str">
        <f t="shared" si="1"/>
        <v>Mittwoch</v>
      </c>
      <c r="C44" s="87">
        <v>0.35416666666666669</v>
      </c>
      <c r="D44" s="213">
        <f t="array" ref="D44">IF(AND(COUNT(SEARCH(Sonderarbeit,$N44,1))&gt;=1,$B44=Ref!$A$7),Ref!$K$1,Ref!$K$2)</f>
        <v>0.70833333333333337</v>
      </c>
      <c r="E44" s="213">
        <f t="array" ref="E44">IF(AND(COUNT(SEARCH(Sonderarbeit,$N44))&gt;=1,$B44=Ref!$A$7),,Ref!$K$3)</f>
        <v>2.0833333333333332E-2</v>
      </c>
      <c r="F44" s="270">
        <f t="shared" si="2"/>
        <v>0.33333333333333337</v>
      </c>
      <c r="G44" s="271"/>
      <c r="H44" s="88">
        <f t="shared" si="3"/>
        <v>0.33333333333333331</v>
      </c>
      <c r="I44" s="89" t="str">
        <f>IF(AND(F44&gt;H44,OR(AND(OR($B44&lt;&gt;Ref!$A$7,$H$56&gt;0),OR($B44&lt;&gt;Ref!$A$8,$H$57&gt;0)),COUNT(SEARCH(Sonderarbeit,$N44))&gt;=1),ISNONTEXT(C44),C44&lt;&gt;""),F44-H44,"")</f>
        <v/>
      </c>
      <c r="J44" s="90" t="str">
        <f>IF(OR(AND(F44&lt;H44,OR(AND(OR($B44&lt;&gt;Ref!$A$7,$H$56&gt;0),OR($B44&lt;&gt;Ref!$A$8,$H$57&gt;0)),COUNT(SEARCH(Sonderarbeit,$N44))&gt;=1)),C44="Ausgleich"),H44-F44,"")</f>
        <v/>
      </c>
      <c r="K44" s="91" t="str">
        <f>IF(AND(B44=Ref!$A$8,SUM(I38:I44)&lt;SUM(J38:J44)),"-","")</f>
        <v/>
      </c>
      <c r="L44" s="92" t="str">
        <f>IF(B44=Ref!$A$8,ABS(SUM(I38:I44)-SUM(J38:J44)),"")</f>
        <v/>
      </c>
      <c r="N44" s="181"/>
    </row>
    <row r="45" spans="1:14" ht="17.399999999999999" customHeight="1" x14ac:dyDescent="0.55000000000000004">
      <c r="A45" s="86">
        <v>27</v>
      </c>
      <c r="B45" s="85" t="str">
        <f t="shared" si="1"/>
        <v>Donnerstag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0.33333333333333331</v>
      </c>
      <c r="I45" s="89" t="str">
        <f>IF(AND(F45&gt;H45,OR(AND(OR($B45&lt;&gt;Ref!$A$7,$H$56&gt;0),OR($B45&lt;&gt;Ref!$A$8,$H$57&gt;0)),COUNT(SEARCH(Sonderarbeit,$N45))&gt;=1),ISNONTEXT(C45),C45&lt;&gt;""),F45-H45,"")</f>
        <v/>
      </c>
      <c r="J45" s="90" t="str">
        <f>IF(OR(AND(F45&lt;H45,OR(AND(OR($B45&lt;&gt;Ref!$A$7,$H$56&gt;0),OR($B45&lt;&gt;Ref!$A$8,$H$57&gt;0)),COUNT(SEARCH(Sonderarbeit,$N45))&gt;=1)),C45="Ausgleich"),H45-F45,"")</f>
        <v/>
      </c>
      <c r="K45" s="91" t="str">
        <f>IF(AND(B45=Ref!$A$8,SUM(I39:I45)&lt;SUM(J39:J45)),"-","")</f>
        <v/>
      </c>
      <c r="L45" s="92" t="str">
        <f>IF(B45=Ref!$A$8,ABS(SUM(I39:I45)-SUM(J39:J45)),"")</f>
        <v/>
      </c>
      <c r="M45" s="187"/>
      <c r="N45" s="183"/>
    </row>
    <row r="46" spans="1:14" ht="17.399999999999999" customHeight="1" x14ac:dyDescent="0.55000000000000004">
      <c r="A46" s="86">
        <v>28</v>
      </c>
      <c r="B46" s="85" t="str">
        <f t="shared" si="1"/>
        <v>Freitag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0.3125</v>
      </c>
      <c r="I46" s="89">
        <f>IF(AND(F46&gt;H46,OR(AND(OR($B46&lt;&gt;Ref!$A$7,$H$56&gt;0),OR($B46&lt;&gt;Ref!$A$8,$H$57&gt;0)),COUNT(SEARCH(Sonderarbeit,$N46))&gt;=1),ISNONTEXT(C46),C46&lt;&gt;""),F46-H46,"")</f>
        <v>2.083333333333337E-2</v>
      </c>
      <c r="J46" s="90" t="str">
        <f>IF(OR(AND(F46&lt;H46,OR(AND(OR($B46&lt;&gt;Ref!$A$7,$H$56&gt;0),OR($B46&lt;&gt;Ref!$A$8,$H$57&gt;0)),COUNT(SEARCH(Sonderarbeit,$N46))&gt;=1)),C46="Ausgleich"),H46-F46,"")</f>
        <v/>
      </c>
      <c r="K46" s="91" t="str">
        <f>IF(AND(B46=Ref!$A$8,SUM(I40:I46)&lt;SUM(J40:J46)),"-","")</f>
        <v/>
      </c>
      <c r="L46" s="92" t="str">
        <f>IF(B46=Ref!$A$8,ABS(SUM(I40:I46)-SUM(J40:J46)),"")</f>
        <v/>
      </c>
      <c r="M46" s="187"/>
      <c r="N46" s="183"/>
    </row>
    <row r="47" spans="1:14" ht="17.399999999999999" customHeight="1" x14ac:dyDescent="0.55000000000000004">
      <c r="A47" s="86">
        <v>29</v>
      </c>
      <c r="B47" s="85" t="str">
        <f t="shared" si="1"/>
        <v>Samstag</v>
      </c>
      <c r="C47" s="87">
        <v>0.35416666666666669</v>
      </c>
      <c r="D47" s="213">
        <f t="array" ref="D47">IF(AND(COUNT(SEARCH(Sonderarbeit,$N47,1))&gt;=1,$B47=Ref!$A$7),Ref!$K$1,Ref!$K$2)</f>
        <v>0.70833333333333337</v>
      </c>
      <c r="E47" s="213">
        <f t="array" ref="E47">IF(AND(COUNT(SEARCH(Sonderarbeit,$N47))&gt;=1,$B47=Ref!$A$7),,Ref!$K$3)</f>
        <v>2.0833333333333332E-2</v>
      </c>
      <c r="F47" s="270">
        <f t="shared" si="2"/>
        <v>0.33333333333333337</v>
      </c>
      <c r="G47" s="271"/>
      <c r="H47" s="88">
        <f t="shared" si="3"/>
        <v>0</v>
      </c>
      <c r="I47" s="89" t="str">
        <f>IF(AND(F47&gt;H47,OR(AND(OR($B47&lt;&gt;Ref!$A$7,$H$56&gt;0),OR($B47&lt;&gt;Ref!$A$8,$H$57&gt;0)),COUNT(SEARCH(Sonderarbeit,$N47))&gt;=1),ISNONTEXT(C47),C47&lt;&gt;""),F47-H47,"")</f>
        <v/>
      </c>
      <c r="J47" s="90" t="str">
        <f>IF(OR(AND(F47&lt;H47,OR(AND(OR($B47&lt;&gt;Ref!$A$7,$H$56&gt;0),OR($B47&lt;&gt;Ref!$A$8,$H$57&gt;0)),COUNT(SEARCH(Sonderarbeit,$N47))&gt;=1)),C47="Ausgleich"),H47-F47,"")</f>
        <v/>
      </c>
      <c r="K47" s="91" t="str">
        <f>IF(AND(B47=Ref!$A$8,SUM(I41:I47)&lt;SUM(J41:J47)),"-","")</f>
        <v/>
      </c>
      <c r="L47" s="92" t="str">
        <f>IF(B47=Ref!$A$8,ABS(SUM(I41:I47)-SUM(J41:J47)),"")</f>
        <v/>
      </c>
      <c r="N47" s="181"/>
    </row>
    <row r="48" spans="1:14" ht="17.399999999999999" customHeight="1" x14ac:dyDescent="0.55000000000000004">
      <c r="A48" s="86">
        <v>30</v>
      </c>
      <c r="B48" s="85" t="str">
        <f t="shared" si="1"/>
        <v>Sonntag</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v>
      </c>
      <c r="I48" s="89" t="str">
        <f>IF(AND(F48&gt;H48,OR(AND(OR($B48&lt;&gt;Ref!$A$7,$H$56&gt;0),OR($B48&lt;&gt;Ref!$A$8,$H$57&gt;0)),COUNT(SEARCH(Sonderarbeit,$N48))&gt;=1),ISNONTEXT(C48),C48&lt;&gt;""),F48-H48,"")</f>
        <v/>
      </c>
      <c r="J48" s="90" t="str">
        <f>IF(OR(AND(F48&lt;H48,OR(AND(OR($B48&lt;&gt;Ref!$A$7,$H$56&gt;0),OR($B48&lt;&gt;Ref!$A$8,$H$57&gt;0)),COUNT(SEARCH(Sonderarbeit,$N48))&gt;=1)),C48="Ausgleich"),H48-F48,"")</f>
        <v/>
      </c>
      <c r="K48" s="91" t="str">
        <f>IF(AND(B48=Ref!$A$8,SUM(I42:I48)&lt;SUM(J42:J48)),"-","")</f>
        <v/>
      </c>
      <c r="L48" s="92">
        <f>IF(B48=Ref!$A$8,ABS(SUM(I42:I48)-SUM(J42:J48)),"")</f>
        <v>2.083333333333337E-2</v>
      </c>
      <c r="N48" s="183"/>
    </row>
    <row r="49" spans="1:14" ht="17.399999999999999" customHeight="1" x14ac:dyDescent="0.55000000000000004">
      <c r="A49" s="86">
        <v>31</v>
      </c>
      <c r="B49" s="85" t="str">
        <f t="shared" si="1"/>
        <v>Montag</v>
      </c>
      <c r="C49" s="87">
        <v>0.35416666666666669</v>
      </c>
      <c r="D49" s="213">
        <f t="array" ref="D49">IF(AND(COUNT(SEARCH(Sonderarbeit,$N49,1))&gt;=1,$B49=Ref!$A$7),Ref!$K$1,Ref!$K$2)</f>
        <v>0.70833333333333337</v>
      </c>
      <c r="E49" s="213">
        <f t="array" ref="E49">IF(AND(COUNT(SEARCH(Sonderarbeit,$N49))&gt;=1,$B49=Ref!$A$7),,Ref!$K$3)</f>
        <v>2.0833333333333332E-2</v>
      </c>
      <c r="F49" s="270">
        <f t="shared" si="2"/>
        <v>0.33333333333333337</v>
      </c>
      <c r="G49" s="271"/>
      <c r="H49" s="88">
        <f t="shared" si="3"/>
        <v>0.33333333333333331</v>
      </c>
      <c r="I49" s="89" t="str">
        <f>IF(AND(F49&gt;H49,OR(AND(OR($B49&lt;&gt;Ref!$A$7,$H$56&gt;0),OR($B49&lt;&gt;Ref!$A$8,$H$57&gt;0)),COUNT(SEARCH(Sonderarbeit,$N49))&gt;=1),ISNONTEXT(C49),C49&lt;&gt;""),F49-H49,"")</f>
        <v/>
      </c>
      <c r="J49" s="90" t="str">
        <f>IF(OR(AND(F49&lt;H49,OR(AND(OR($B49&lt;&gt;Ref!$A$7,$H$56&gt;0),OR($B49&lt;&gt;Ref!$A$8,$H$57&gt;0)),COUNT(SEARCH(Sonderarbeit,$N49))&gt;=1)),C49="Ausgleich"),H49-F49,"")</f>
        <v/>
      </c>
      <c r="K49" s="97" t="str">
        <f ca="1">IF(SUM(INDIRECT("I"&amp;ROW()-WEEKDAY(DATE(J$11,MONTH(I$11),A49),3)):I49) &lt; SUM(INDIRECT("j"&amp;ROW()-WEEKDAY(DATE(J$11,MONTH(I$11),A49),3)):J49),"-","")</f>
        <v/>
      </c>
      <c r="L49" s="96">
        <f ca="1">ABS(SUM(INDIRECT("I"&amp;ROW()-WEEKDAY(DATE(J$11,MONTH(I$11),A49),3)):I49)-SUM(INDIRECT("j"&amp;ROW()-WEEKDAY(DATE(J$11,MONTH(I$11),A49))):J49))</f>
        <v>0</v>
      </c>
      <c r="N49" s="181"/>
    </row>
    <row r="50" spans="1:14" s="20" customFormat="1" ht="17.399999999999999" customHeight="1" thickBot="1" x14ac:dyDescent="0.35">
      <c r="A50" s="98" t="str">
        <f>Jan!A50</f>
        <v>Sonstige Zeiten laut beigefügter Aufstellung (s. Anlage):</v>
      </c>
      <c r="B50" s="172"/>
      <c r="C50" s="173"/>
      <c r="D50" s="101"/>
      <c r="E50" s="101"/>
      <c r="F50" s="101"/>
      <c r="G50" s="101"/>
      <c r="H50" s="165"/>
      <c r="I50" s="145">
        <v>0</v>
      </c>
      <c r="J50" s="146">
        <v>0</v>
      </c>
      <c r="K50" s="147"/>
      <c r="L50" s="148"/>
      <c r="M50" s="188"/>
      <c r="N50" s="183"/>
    </row>
    <row r="51" spans="1:14" x14ac:dyDescent="0.3">
      <c r="A51" s="257" t="s">
        <v>3</v>
      </c>
      <c r="B51" s="257"/>
      <c r="C51" s="257"/>
      <c r="D51" s="257"/>
      <c r="E51" s="105"/>
      <c r="F51" s="105"/>
      <c r="G51" s="105"/>
      <c r="H51" s="166">
        <f>Feb!H48</f>
        <v>0.33333333333333331</v>
      </c>
      <c r="I51" s="273">
        <f>SUM(I17:I50)</f>
        <v>0.27083333333333381</v>
      </c>
      <c r="J51" s="275">
        <f>SUM(J17:J50)</f>
        <v>0</v>
      </c>
      <c r="K51" s="252" t="str">
        <f ca="1">IF(SUMIF(K19:K49,"",L19:L49)&lt;SUMIF(K19:K49,"-",L19:L49),"-","")</f>
        <v/>
      </c>
      <c r="L51" s="254">
        <f ca="1">ABS(SUMIF(K19:K49,"",L19:L49)-SUMIF(K19:K49,"-",L19:L49))</f>
        <v>8.3333333333333481E-2</v>
      </c>
    </row>
    <row r="52" spans="1:14" ht="13.5" thickBot="1" x14ac:dyDescent="0.35">
      <c r="A52" s="258"/>
      <c r="B52" s="258"/>
      <c r="C52" s="258"/>
      <c r="D52" s="258"/>
      <c r="E52" s="105"/>
      <c r="F52" s="105"/>
      <c r="G52" s="106" t="s">
        <v>12</v>
      </c>
      <c r="H52" s="167">
        <f>Feb!H49</f>
        <v>0.33333333333333331</v>
      </c>
      <c r="I52" s="274"/>
      <c r="J52" s="276"/>
      <c r="K52" s="253"/>
      <c r="L52" s="255"/>
    </row>
    <row r="53" spans="1:14" x14ac:dyDescent="0.3">
      <c r="A53" s="258"/>
      <c r="B53" s="258"/>
      <c r="C53" s="258"/>
      <c r="D53" s="258"/>
      <c r="E53" s="105"/>
      <c r="F53" s="105"/>
      <c r="G53" s="107"/>
      <c r="H53" s="167">
        <f>Feb!H50</f>
        <v>0.33333333333333331</v>
      </c>
      <c r="I53" s="268">
        <f>IF(I51&gt;J51,I51-J51,0)</f>
        <v>0.27083333333333381</v>
      </c>
      <c r="J53" s="266" t="str">
        <f>IF(J51&gt;I51,J51-I51,"")</f>
        <v/>
      </c>
      <c r="K53" s="110"/>
      <c r="L53" s="110"/>
    </row>
    <row r="54" spans="1:14" ht="13.5" thickBot="1" x14ac:dyDescent="0.35">
      <c r="A54" s="265" t="s">
        <v>15</v>
      </c>
      <c r="B54" s="265"/>
      <c r="C54" s="265"/>
      <c r="D54" s="265"/>
      <c r="E54" s="109"/>
      <c r="F54" s="109"/>
      <c r="G54" s="106" t="s">
        <v>13</v>
      </c>
      <c r="H54" s="167">
        <f>Feb!H51</f>
        <v>0.33333333333333331</v>
      </c>
      <c r="I54" s="269"/>
      <c r="J54" s="267"/>
      <c r="K54" s="110"/>
      <c r="L54" s="110"/>
    </row>
    <row r="55" spans="1:14" ht="13.5" thickBot="1" x14ac:dyDescent="0.35">
      <c r="A55" s="257" t="s">
        <v>4</v>
      </c>
      <c r="B55" s="257"/>
      <c r="C55" s="257"/>
      <c r="D55" s="257"/>
      <c r="E55" s="109"/>
      <c r="F55" s="109"/>
      <c r="G55" s="109"/>
      <c r="H55" s="167">
        <f>Feb!H52</f>
        <v>0.3125</v>
      </c>
      <c r="I55" s="109"/>
      <c r="J55" s="109"/>
      <c r="K55" s="110"/>
      <c r="L55" s="110"/>
    </row>
    <row r="56" spans="1:14" ht="13.25" customHeight="1" x14ac:dyDescent="0.3">
      <c r="A56" s="258"/>
      <c r="B56" s="258"/>
      <c r="C56" s="258"/>
      <c r="D56" s="258"/>
      <c r="E56" s="149" t="str">
        <f>Jan!E56</f>
        <v xml:space="preserve"> </v>
      </c>
      <c r="F56" s="150"/>
      <c r="G56" s="151" t="str">
        <f>IF(E56=" ", " ", IF(Mantelbogen!D26=I11,Mantelbogen!C29,Feb!G55))</f>
        <v xml:space="preserve"> </v>
      </c>
      <c r="H56" s="168">
        <v>0</v>
      </c>
      <c r="I56" s="259" t="s">
        <v>123</v>
      </c>
      <c r="J56" s="260"/>
      <c r="K56" s="110"/>
      <c r="L56" s="110"/>
    </row>
    <row r="57" spans="1:14" ht="13.5" thickBot="1" x14ac:dyDescent="0.35">
      <c r="A57" s="258"/>
      <c r="B57" s="258"/>
      <c r="C57" s="258"/>
      <c r="D57" s="258"/>
      <c r="E57" s="149" t="str">
        <f>Jan!E57</f>
        <v xml:space="preserve"> </v>
      </c>
      <c r="F57" s="151"/>
      <c r="G57" s="151" t="str">
        <f>IF(E56=" ", " ", -COUNTIF(C19:C49, "Urlaub*" ))</f>
        <v xml:space="preserve"> </v>
      </c>
      <c r="H57" s="169">
        <v>0</v>
      </c>
      <c r="I57" s="261"/>
      <c r="J57" s="262"/>
      <c r="K57" s="110"/>
      <c r="L57" s="110"/>
    </row>
    <row r="58" spans="1:14" ht="24.5" customHeight="1" thickBot="1" x14ac:dyDescent="0.35">
      <c r="A58" s="265" t="s">
        <v>10</v>
      </c>
      <c r="B58" s="265"/>
      <c r="C58" s="265"/>
      <c r="D58" s="265"/>
      <c r="E58" s="152" t="str">
        <f>Jan!E58</f>
        <v xml:space="preserve"> </v>
      </c>
      <c r="F58" s="153"/>
      <c r="G58" s="154" t="str">
        <f>IF(E56=" ", " ", IF(Mantelbogen!C29 &gt; 0.0001, G56+G57, 0))</f>
        <v xml:space="preserve"> </v>
      </c>
      <c r="H58" s="195">
        <f>SUM(H51:H57)</f>
        <v>1.6458333333333333</v>
      </c>
      <c r="I58" s="263"/>
      <c r="J58" s="264"/>
      <c r="K58" s="105"/>
      <c r="L58" s="118" t="str">
        <f>Mantelbogen!D47</f>
        <v>10.01.2024  HAdW / G. Wolff</v>
      </c>
    </row>
    <row r="60" spans="1:14" x14ac:dyDescent="0.3">
      <c r="G60" s="256"/>
      <c r="H60" s="256"/>
      <c r="I60" s="256"/>
      <c r="J60" s="21"/>
    </row>
    <row r="61" spans="1:14" x14ac:dyDescent="0.3">
      <c r="G61" s="21"/>
      <c r="H61" s="21"/>
      <c r="I61" s="21"/>
      <c r="J61" s="21"/>
    </row>
    <row r="62" spans="1:14" x14ac:dyDescent="0.3">
      <c r="G62" s="21"/>
      <c r="H62" s="21"/>
    </row>
  </sheetData>
  <sheetProtection password="9BC9" sheet="1" objects="1" scenarios="1"/>
  <mergeCells count="63">
    <mergeCell ref="G1:J7"/>
    <mergeCell ref="A4:E6"/>
    <mergeCell ref="I15:J15"/>
    <mergeCell ref="I17:I18"/>
    <mergeCell ref="J17:J18"/>
    <mergeCell ref="C15:C18"/>
    <mergeCell ref="D15:D18"/>
    <mergeCell ref="E15:E18"/>
    <mergeCell ref="F15:G18"/>
    <mergeCell ref="A1:E2"/>
    <mergeCell ref="A3:E3"/>
    <mergeCell ref="A11:B11"/>
    <mergeCell ref="A13:B13"/>
    <mergeCell ref="A15:A18"/>
    <mergeCell ref="B15:B18"/>
    <mergeCell ref="F24:G24"/>
    <mergeCell ref="H15:H18"/>
    <mergeCell ref="F25:G25"/>
    <mergeCell ref="F20:G20"/>
    <mergeCell ref="F19:G19"/>
    <mergeCell ref="F22:G22"/>
    <mergeCell ref="F23:G23"/>
    <mergeCell ref="F21:G21"/>
    <mergeCell ref="F32:G32"/>
    <mergeCell ref="F33:G33"/>
    <mergeCell ref="F34:G34"/>
    <mergeCell ref="F35:G35"/>
    <mergeCell ref="F26:G26"/>
    <mergeCell ref="F29:G29"/>
    <mergeCell ref="F30:G30"/>
    <mergeCell ref="F31:G31"/>
    <mergeCell ref="F27:G27"/>
    <mergeCell ref="F28:G28"/>
    <mergeCell ref="F43:G43"/>
    <mergeCell ref="F36:G36"/>
    <mergeCell ref="F37:G37"/>
    <mergeCell ref="F38:G38"/>
    <mergeCell ref="F39:G39"/>
    <mergeCell ref="A54:D54"/>
    <mergeCell ref="G60:I60"/>
    <mergeCell ref="A55:D55"/>
    <mergeCell ref="A56:D57"/>
    <mergeCell ref="I56:J58"/>
    <mergeCell ref="A58:D58"/>
    <mergeCell ref="J53:J54"/>
    <mergeCell ref="I53:I54"/>
    <mergeCell ref="A52:D53"/>
    <mergeCell ref="F48:G48"/>
    <mergeCell ref="F49:G49"/>
    <mergeCell ref="A51:D51"/>
    <mergeCell ref="I51:I52"/>
    <mergeCell ref="K15:L16"/>
    <mergeCell ref="K17:L18"/>
    <mergeCell ref="K51:K52"/>
    <mergeCell ref="L51:L52"/>
    <mergeCell ref="J51:J52"/>
    <mergeCell ref="F44:G44"/>
    <mergeCell ref="F45:G45"/>
    <mergeCell ref="F46:G46"/>
    <mergeCell ref="F47:G47"/>
    <mergeCell ref="F40:G40"/>
    <mergeCell ref="F41:G41"/>
    <mergeCell ref="F42:G42"/>
  </mergeCells>
  <phoneticPr fontId="0" type="noConversion"/>
  <conditionalFormatting sqref="C19:C49">
    <cfRule type="expression" dxfId="109" priority="7">
      <formula>ISTEXT($C19)</formula>
    </cfRule>
  </conditionalFormatting>
  <conditionalFormatting sqref="F19:F49">
    <cfRule type="expression" dxfId="108" priority="11">
      <formula>AND(ISNONTEXT($C19),$F19 &gt; 0.666667)</formula>
    </cfRule>
  </conditionalFormatting>
  <conditionalFormatting sqref="A19:L49">
    <cfRule type="expression" dxfId="107" priority="5">
      <formula>AND(ISTEXT($C19),$C19&lt;&gt;"Kinderkrankentag",$C19&lt;&gt;"Urlaub",$C19&lt;&gt;"Krank",$C19&lt;&gt;"Ausgleich")</formula>
    </cfRule>
  </conditionalFormatting>
  <conditionalFormatting sqref="D19:H49">
    <cfRule type="expression" dxfId="106" priority="4">
      <formula>AND(ISTEXT($C19),OR($C19="Kinderkrankentag",$C19="Urlaub",$C19="Krank",$C19="Ausgleich"))</formula>
    </cfRule>
  </conditionalFormatting>
  <conditionalFormatting sqref="A19:A49 C19:L49">
    <cfRule type="expression" dxfId="105" priority="1">
      <formula>COUNT(SEARCH(Sonderarbeit,$N19))&gt;=1</formula>
    </cfRule>
  </conditionalFormatting>
  <conditionalFormatting sqref="D19:J49">
    <cfRule type="expression" dxfId="104" priority="3">
      <formula>AND(ISTEXT($C19),$C19&lt;&gt;"Kinderkrankentag",$C19&lt;&gt;"Urlaub",$C19&lt;&gt;"Krank",$C19&lt;&gt;"Ausgleich")</formula>
    </cfRule>
  </conditionalFormatting>
  <dataValidations disablePrompts="1"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6D05DD9C-E9C0-49E6-9586-BA6B3C159B87}">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603A3C26-0C59-464E-BB46-2834AEC857E2}">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 xmlns:xm="http://schemas.microsoft.com/office/excel/2006/main">
          <x14:cfRule type="expression" priority="6" id="{AF4AB7C4-968B-4122-B2F4-220BD20FE9AE}">
            <xm:f>OR(AND($B19=Ref!$A$7,$H$56=0), AND($B19=Ref!$A$8,$H$57=0), NOT( ISERROR(FIND("feiertag",LOWER($C19)) ) ) )</xm:f>
            <x14:dxf>
              <fill>
                <patternFill patternType="solid">
                  <bgColor rgb="FF99CCFF"/>
                </patternFill>
              </fill>
            </x14:dxf>
          </x14:cfRule>
          <xm:sqref>A19:L49</xm:sqref>
        </x14:conditionalFormatting>
        <x14:conditionalFormatting xmlns:xm="http://schemas.microsoft.com/office/excel/2006/main">
          <x14:cfRule type="expression" priority="8" id="{62EFD1B6-0EF5-49D2-858F-BAE899ABED1C}">
            <xm:f>OR(AND($B19=Ref!$A$7, $H$56&lt;0.00001),AND($B19=Ref!$A$8, $H$57&lt;0.00001))</xm:f>
            <x14:dxf>
              <font>
                <color rgb="FF99CCFF"/>
              </font>
              <fill>
                <patternFill>
                  <bgColor rgb="FF99CCFF"/>
                </patternFill>
              </fill>
            </x14:dxf>
          </x14:cfRule>
          <xm:sqref>C19:J49</xm:sqref>
        </x14:conditionalFormatting>
        <x14:conditionalFormatting xmlns:xm="http://schemas.microsoft.com/office/excel/2006/main">
          <x14:cfRule type="expression" priority="9" id="{97FE61BE-09EC-43E9-B67B-AB583AE6D668}">
            <xm:f>AND($B19=Ref!$A$7, $H$56&gt;0.00001)</xm:f>
            <x14:dxf>
              <font>
                <b val="0"/>
                <i val="0"/>
                <color theme="1"/>
              </font>
            </x14:dxf>
          </x14:cfRule>
          <x14:cfRule type="expression" priority="10" id="{FAEBE948-CE39-4DB4-8340-E12BD7A4DAA9}">
            <xm:f>AND($B19=Ref!$A$8, $H$57&gt;0.00001)</xm:f>
            <x14:dxf>
              <font>
                <b val="0"/>
                <i val="0"/>
              </font>
            </x14:dxf>
          </x14:cfRule>
          <xm:sqref>C19:I49</xm:sqref>
        </x14:conditionalFormatting>
      </x14:conditionalFormattings>
    </ext>
    <ext xmlns:x14="http://schemas.microsoft.com/office/spreadsheetml/2009/9/main" uri="{CCE6A557-97BC-4b89-ADB6-D9C93CAAB3DF}">
      <x14:dataValidations xmlns:xm="http://schemas.microsoft.com/office/excel/2006/main" disablePrompts="1"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526E2D52-4953-46ED-9572-971EA32B4ED5}">
          <x14:formula1>
            <xm:f>NOT(OFFSET(C19,0,2-COLUMN(C19))=Ref!$A$7)</xm:f>
          </x14:formula1>
          <xm:sqref>C19:E49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N61"/>
  <sheetViews>
    <sheetView zoomScaleNormal="100" workbookViewId="0">
      <selection activeCell="A4" sqref="A4:E6"/>
    </sheetView>
  </sheetViews>
  <sheetFormatPr defaultColWidth="11.54296875" defaultRowHeight="13" x14ac:dyDescent="0.3"/>
  <cols>
    <col min="1" max="1" width="5.54296875" style="4" customWidth="1"/>
    <col min="2" max="2" width="9.08984375" style="5" customWidth="1"/>
    <col min="3" max="3" width="13.1796875" style="5" bestFit="1" customWidth="1"/>
    <col min="4" max="4" width="9.08984375" style="5" customWidth="1"/>
    <col min="5" max="5" width="8.54296875" style="2" customWidth="1"/>
    <col min="6" max="6" width="7.08984375" style="2" customWidth="1"/>
    <col min="7" max="7" width="3.54296875" style="2" customWidth="1"/>
    <col min="8" max="8" width="9.08984375" style="2" customWidth="1"/>
    <col min="9" max="9" width="10.08984375" style="2" customWidth="1"/>
    <col min="10" max="10" width="10.36328125" style="2" customWidth="1"/>
    <col min="11" max="11" width="2.90625" style="2" customWidth="1"/>
    <col min="12" max="12" width="8.90625" style="2" customWidth="1"/>
    <col min="13" max="13" width="16.36328125" style="183" customWidth="1"/>
    <col min="14" max="14" width="18.1796875" style="183" customWidth="1"/>
    <col min="15" max="16384" width="11.54296875" style="2"/>
  </cols>
  <sheetData>
    <row r="1" spans="1:14" ht="15.5" customHeight="1" x14ac:dyDescent="0.3">
      <c r="A1" s="289" t="s">
        <v>53</v>
      </c>
      <c r="B1" s="289"/>
      <c r="C1" s="289"/>
      <c r="D1" s="289"/>
      <c r="E1" s="289"/>
      <c r="F1" s="174"/>
      <c r="G1" s="277" t="s">
        <v>9</v>
      </c>
      <c r="H1" s="277"/>
      <c r="I1" s="277"/>
      <c r="J1" s="277"/>
    </row>
    <row r="2" spans="1:14" ht="15.5" customHeight="1" x14ac:dyDescent="0.3">
      <c r="A2" s="289"/>
      <c r="B2" s="289"/>
      <c r="C2" s="289"/>
      <c r="D2" s="289"/>
      <c r="E2" s="289"/>
      <c r="F2" s="174"/>
      <c r="G2" s="277"/>
      <c r="H2" s="277"/>
      <c r="I2" s="277"/>
      <c r="J2" s="277"/>
    </row>
    <row r="3" spans="1:14" x14ac:dyDescent="0.3">
      <c r="A3" s="288" t="s">
        <v>11</v>
      </c>
      <c r="B3" s="288"/>
      <c r="C3" s="288"/>
      <c r="D3" s="288"/>
      <c r="E3" s="288"/>
      <c r="F3" s="105"/>
      <c r="G3" s="277"/>
      <c r="H3" s="277"/>
      <c r="I3" s="277"/>
      <c r="J3" s="277"/>
    </row>
    <row r="4" spans="1:14" ht="13.25" customHeight="1" x14ac:dyDescent="0.3">
      <c r="A4" s="278" t="s">
        <v>5</v>
      </c>
      <c r="B4" s="278"/>
      <c r="C4" s="278"/>
      <c r="D4" s="278"/>
      <c r="E4" s="278"/>
      <c r="F4" s="157"/>
      <c r="G4" s="277"/>
      <c r="H4" s="277"/>
      <c r="I4" s="277"/>
      <c r="J4" s="277"/>
    </row>
    <row r="5" spans="1:14" ht="6" customHeight="1" x14ac:dyDescent="0.3">
      <c r="A5" s="278"/>
      <c r="B5" s="278"/>
      <c r="C5" s="278"/>
      <c r="D5" s="278"/>
      <c r="E5" s="278"/>
      <c r="F5" s="157"/>
      <c r="G5" s="277"/>
      <c r="H5" s="277"/>
      <c r="I5" s="277"/>
      <c r="J5" s="277"/>
    </row>
    <row r="6" spans="1:14" ht="13.25" customHeight="1" x14ac:dyDescent="0.3">
      <c r="A6" s="278"/>
      <c r="B6" s="278"/>
      <c r="C6" s="278"/>
      <c r="D6" s="278"/>
      <c r="E6" s="278"/>
      <c r="F6" s="157"/>
      <c r="G6" s="277"/>
      <c r="H6" s="277"/>
      <c r="I6" s="277"/>
      <c r="J6" s="277"/>
    </row>
    <row r="7" spans="1:14" ht="13.25" customHeight="1" x14ac:dyDescent="0.3">
      <c r="A7" s="6"/>
      <c r="B7" s="6"/>
      <c r="C7" s="6"/>
      <c r="D7" s="6"/>
      <c r="E7" s="6"/>
      <c r="F7" s="6"/>
      <c r="G7" s="277"/>
      <c r="H7" s="277"/>
      <c r="I7" s="277"/>
      <c r="J7" s="277"/>
    </row>
    <row r="8" spans="1:14" ht="6" customHeight="1" thickBot="1" x14ac:dyDescent="0.35">
      <c r="A8" s="7"/>
      <c r="B8" s="8"/>
      <c r="C8" s="8"/>
      <c r="D8" s="8"/>
      <c r="E8" s="9"/>
      <c r="F8" s="9"/>
      <c r="G8" s="9"/>
      <c r="H8" s="9"/>
      <c r="I8" s="10"/>
      <c r="J8" s="10"/>
      <c r="K8" s="11"/>
      <c r="L8" s="12"/>
    </row>
    <row r="9" spans="1:14" ht="6" customHeight="1" x14ac:dyDescent="0.3">
      <c r="A9" s="13"/>
      <c r="B9" s="14"/>
      <c r="C9" s="14"/>
      <c r="D9" s="14"/>
      <c r="E9" s="15"/>
      <c r="F9" s="15"/>
      <c r="G9" s="15"/>
      <c r="H9" s="15"/>
      <c r="I9" s="16"/>
      <c r="J9" s="16"/>
      <c r="K9" s="17"/>
      <c r="L9" s="18"/>
    </row>
    <row r="10" spans="1:14" x14ac:dyDescent="0.3">
      <c r="A10" s="119"/>
      <c r="B10" s="120"/>
      <c r="C10" s="120"/>
      <c r="D10" s="120"/>
      <c r="E10" s="121"/>
      <c r="F10" s="121"/>
      <c r="G10" s="121"/>
      <c r="H10" s="105"/>
      <c r="I10" s="122"/>
      <c r="J10" s="122"/>
      <c r="K10" s="123"/>
      <c r="L10" s="124"/>
    </row>
    <row r="11" spans="1:14" x14ac:dyDescent="0.3">
      <c r="A11" s="290" t="s">
        <v>6</v>
      </c>
      <c r="B11" s="290"/>
      <c r="C11" s="125" t="str">
        <f>Mar!C11</f>
        <v>ATHENE, Pallas</v>
      </c>
      <c r="D11" s="126"/>
      <c r="E11" s="127"/>
      <c r="F11" s="128"/>
      <c r="G11" s="128" t="s">
        <v>8</v>
      </c>
      <c r="H11" s="129"/>
      <c r="I11" s="130">
        <f>DATE(J11,4,1)</f>
        <v>45748</v>
      </c>
      <c r="J11" s="131">
        <f>Jan!J11</f>
        <v>2025</v>
      </c>
      <c r="K11" s="132"/>
      <c r="L11" s="133"/>
    </row>
    <row r="12" spans="1:14" ht="13" customHeight="1" x14ac:dyDescent="0.3">
      <c r="A12" s="134"/>
      <c r="B12" s="124"/>
      <c r="C12" s="135"/>
      <c r="D12" s="136"/>
      <c r="E12" s="128"/>
      <c r="F12" s="128"/>
      <c r="G12" s="121"/>
      <c r="I12" s="329" t="s">
        <v>124</v>
      </c>
      <c r="J12" s="329"/>
      <c r="K12" s="329"/>
      <c r="L12" s="329"/>
    </row>
    <row r="13" spans="1:14" x14ac:dyDescent="0.3">
      <c r="A13" s="290" t="s">
        <v>7</v>
      </c>
      <c r="B13" s="290"/>
      <c r="C13" s="125" t="str">
        <f>Mar!C13</f>
        <v>Geschäftsstelle</v>
      </c>
      <c r="D13" s="139"/>
      <c r="E13" s="127"/>
      <c r="F13" s="140"/>
      <c r="G13" s="140"/>
      <c r="H13" s="19"/>
      <c r="I13" s="330"/>
      <c r="J13" s="330"/>
      <c r="K13" s="330"/>
      <c r="L13" s="330"/>
    </row>
    <row r="14" spans="1:14" ht="13.5" thickBot="1" x14ac:dyDescent="0.35">
      <c r="A14" s="134"/>
      <c r="B14" s="141"/>
      <c r="C14" s="141"/>
      <c r="D14" s="141"/>
      <c r="E14" s="105"/>
      <c r="F14" s="105"/>
      <c r="G14" s="105"/>
      <c r="H14" s="105"/>
      <c r="I14" s="105"/>
      <c r="J14" s="105"/>
      <c r="K14" s="123"/>
      <c r="L14" s="124"/>
    </row>
    <row r="15" spans="1:14" ht="13.25" customHeight="1" x14ac:dyDescent="0.3">
      <c r="A15" s="295"/>
      <c r="B15" s="295" t="s">
        <v>14</v>
      </c>
      <c r="C15" s="295" t="s">
        <v>130</v>
      </c>
      <c r="D15" s="295" t="s">
        <v>19</v>
      </c>
      <c r="E15" s="295" t="s">
        <v>16</v>
      </c>
      <c r="F15" s="283" t="s">
        <v>122</v>
      </c>
      <c r="G15" s="283"/>
      <c r="H15" s="279" t="s">
        <v>45</v>
      </c>
      <c r="I15" s="285" t="s">
        <v>0</v>
      </c>
      <c r="J15" s="285"/>
      <c r="K15" s="244" t="s">
        <v>43</v>
      </c>
      <c r="L15" s="245"/>
    </row>
    <row r="16" spans="1:14" ht="13.5" thickBot="1" x14ac:dyDescent="0.35">
      <c r="A16" s="296"/>
      <c r="B16" s="296"/>
      <c r="C16" s="296"/>
      <c r="D16" s="296"/>
      <c r="E16" s="296"/>
      <c r="F16" s="283"/>
      <c r="G16" s="283"/>
      <c r="H16" s="280"/>
      <c r="I16" s="84" t="s">
        <v>1</v>
      </c>
      <c r="J16" s="84" t="s">
        <v>2</v>
      </c>
      <c r="K16" s="246"/>
      <c r="L16" s="247"/>
      <c r="N16" s="190"/>
    </row>
    <row r="17" spans="1:14" ht="16" thickBot="1" x14ac:dyDescent="0.4">
      <c r="A17" s="296"/>
      <c r="B17" s="296"/>
      <c r="C17" s="296"/>
      <c r="D17" s="296"/>
      <c r="E17" s="296"/>
      <c r="F17" s="283"/>
      <c r="G17" s="283"/>
      <c r="H17" s="280"/>
      <c r="I17" s="286">
        <f>MIN(IF(Mantelbogen!D26=I11,Mantelbogen!C28,Mar!I53),Mantelbogen!D14)</f>
        <v>0.27083333333333381</v>
      </c>
      <c r="J17" s="287" t="str">
        <f>IF(Mantelbogen!D26=I11,Mantelbogen!D28,Mar!J53)</f>
        <v/>
      </c>
      <c r="K17" s="248" t="str">
        <f>IF(I17/H57 &gt; 1, I17/H57, " " )</f>
        <v xml:space="preserve"> </v>
      </c>
      <c r="L17" s="249"/>
      <c r="N17" s="184" t="str">
        <f>IF(Mar!$I$53 &gt; $I$17, CONCATENATE("Verlust von ",TEXT((Mar!$I$53-$I$17)*24,"#,0")), "" )</f>
        <v/>
      </c>
    </row>
    <row r="18" spans="1:14" ht="13.5" thickBot="1" x14ac:dyDescent="0.35">
      <c r="A18" s="298"/>
      <c r="B18" s="297"/>
      <c r="C18" s="297"/>
      <c r="D18" s="297"/>
      <c r="E18" s="297"/>
      <c r="F18" s="283"/>
      <c r="G18" s="283"/>
      <c r="H18" s="281"/>
      <c r="I18" s="286"/>
      <c r="J18" s="287"/>
      <c r="K18" s="250"/>
      <c r="L18" s="251"/>
      <c r="N18" s="185" t="str">
        <f>IF(Mar!$I$53 &gt; $I$17, "Überstunden !", " " )</f>
        <v xml:space="preserve"> </v>
      </c>
    </row>
    <row r="19" spans="1:14" ht="17.399999999999999" customHeight="1" x14ac:dyDescent="0.55000000000000004">
      <c r="A19" s="86">
        <v>1</v>
      </c>
      <c r="B19" s="85" t="str">
        <f>TEXT(DATE(J$11,MONTH(I$11),A19),Textcode)</f>
        <v>Dienstag</v>
      </c>
      <c r="C19" s="87">
        <v>0.35416666666666669</v>
      </c>
      <c r="D19" s="213">
        <f t="array" ref="D19">IF(AND(COUNT(SEARCH(Sonderarbeit,$N19,1))&gt;=1,$B19=Ref!$A$7),Ref!$K$1,Ref!$K$2)</f>
        <v>0.70833333333333337</v>
      </c>
      <c r="E19" s="213">
        <f t="array" ref="E19">IF(AND(COUNT(SEARCH(Sonderarbeit,$N19))&gt;=1,$B19=Ref!$A$7),,Ref!$K$3)</f>
        <v>2.0833333333333332E-2</v>
      </c>
      <c r="F19" s="270">
        <f>IF(ISTEXT(C19),,D19-C19-E19)</f>
        <v>0.33333333333333337</v>
      </c>
      <c r="G19" s="271"/>
      <c r="H19" s="88">
        <f t="shared" ref="H19:H35" si="0">IF(AND(ISTEXT(C19),ISERR(SEARCH("ausgleich",C19,1))),,INDEX(H$50:H$57,WEEKDAY(DATE(J$11,MONTH(I$11),A19),2),1,1))</f>
        <v>0.33333333333333331</v>
      </c>
      <c r="I19" s="89" t="str">
        <f t="array" ref="I19">IF(AND(F19&gt;H19,OR(AND(OR($B19&lt;&gt;Ref!$A$7,$H$55&gt;0),OR($B19&lt;&gt;Ref!$A$8,$H$56&gt;0)),COUNT(SEARCH(Sonderarbeit,$N19))&gt;=1),ISNONTEXT(C19),C19&lt;&gt;""),F19-H19,"")</f>
        <v/>
      </c>
      <c r="J19" s="90" t="str">
        <f t="array" ref="J19">IF(OR(AND(F19&lt;H19,OR(AND(OR($B19&lt;&gt;Ref!$A$7,$H$55&gt;0),OR($B19&lt;&gt;Ref!$A$8,$H$56&gt;0)),COUNT(SEARCH(Sonderarbeit,$N19))&gt;=1)),C19="Ausgleich"),H19-F19,"")</f>
        <v/>
      </c>
      <c r="K19" s="170" t="str">
        <f>IF(AND(B19=Ref!$A$8,SUM(I19:I19)&lt;SUM(J19:J19)),"-","")</f>
        <v/>
      </c>
      <c r="L19" s="171" t="str">
        <f>IF(B19=Ref!$A$8,ABS(SUM(I19:I19)-SUM(J19:J19)),"")</f>
        <v/>
      </c>
      <c r="N19" s="181"/>
    </row>
    <row r="20" spans="1:14" ht="17.399999999999999" customHeight="1" x14ac:dyDescent="0.55000000000000004">
      <c r="A20" s="86">
        <v>2</v>
      </c>
      <c r="B20" s="85" t="str">
        <f t="shared" ref="B20:B48" si="1">TEXT(DATE(J$11,MONTH(I$11),A20),Textcode)</f>
        <v>Mittwoch</v>
      </c>
      <c r="C20" s="87">
        <v>0.35416666666666669</v>
      </c>
      <c r="D20" s="213">
        <f t="array" ref="D20">IF(AND(COUNT(SEARCH(Sonderarbeit,$N20,1))&gt;=1,$B20=Ref!$A$7),Ref!$K$1,Ref!$K$2)</f>
        <v>0.70833333333333337</v>
      </c>
      <c r="E20" s="213">
        <f t="array" ref="E20">IF(AND(COUNT(SEARCH(Sonderarbeit,$N20))&gt;=1,$B20=Ref!$A$7),,Ref!$K$3)</f>
        <v>2.0833333333333332E-2</v>
      </c>
      <c r="F20" s="270">
        <f t="shared" ref="F20:F48" si="2">IF(ISTEXT(C20),,D20-C20-E20)</f>
        <v>0.33333333333333337</v>
      </c>
      <c r="G20" s="271"/>
      <c r="H20" s="88">
        <f t="shared" si="0"/>
        <v>0.33333333333333331</v>
      </c>
      <c r="I20" s="89" t="str">
        <f t="array" ref="I20">IF(AND(F20&gt;H20,OR(AND(OR($B20&lt;&gt;Ref!$A$7,$H$55&gt;0),OR($B20&lt;&gt;Ref!$A$8,$H$56&gt;0)),COUNT(SEARCH(Sonderarbeit,$N20))&gt;=1),ISNONTEXT(C20),C20&lt;&gt;""),F20-H20,"")</f>
        <v/>
      </c>
      <c r="J20" s="90" t="str">
        <f t="array" ref="J20">IF(OR(AND(F20&lt;H20,OR(AND(OR($B20&lt;&gt;Ref!$A$7,$H$55&gt;0),OR($B20&lt;&gt;Ref!$A$8,$H$56&gt;0)),COUNT(SEARCH(Sonderarbeit,$N20))&gt;=1)),C20="Ausgleich"),H20-F20,"")</f>
        <v/>
      </c>
      <c r="K20" s="91" t="str">
        <f>IF(AND(B20=Ref!$A$8,SUM(I19:I20)&lt;SUM(J19:J20)),"-","")</f>
        <v/>
      </c>
      <c r="L20" s="92" t="str">
        <f>IF(B20=Ref!$A$8,ABS(SUM(I19:I20)-SUM(J19:J20)),"")</f>
        <v/>
      </c>
    </row>
    <row r="21" spans="1:14" ht="17.399999999999999" customHeight="1" x14ac:dyDescent="0.55000000000000004">
      <c r="A21" s="93">
        <v>3</v>
      </c>
      <c r="B21" s="85" t="str">
        <f t="shared" si="1"/>
        <v>Donnerstag</v>
      </c>
      <c r="C21" s="87">
        <v>0.35416666666666669</v>
      </c>
      <c r="D21" s="213">
        <f t="array" ref="D21">IF(AND(COUNT(SEARCH(Sonderarbeit,$N21,1))&gt;=1,$B21=Ref!$A$7),Ref!$K$1,Ref!$K$2)</f>
        <v>0.70833333333333337</v>
      </c>
      <c r="E21" s="213">
        <f t="array" ref="E21">IF(AND(COUNT(SEARCH(Sonderarbeit,$N21))&gt;=1,$B21=Ref!$A$7),,Ref!$K$3)</f>
        <v>2.0833333333333332E-2</v>
      </c>
      <c r="F21" s="270">
        <f t="shared" si="2"/>
        <v>0.33333333333333337</v>
      </c>
      <c r="G21" s="271"/>
      <c r="H21" s="88">
        <f t="shared" si="0"/>
        <v>0.33333333333333331</v>
      </c>
      <c r="I21" s="89" t="str">
        <f t="array" ref="I21">IF(AND(F21&gt;H21,OR(AND(OR($B21&lt;&gt;Ref!$A$7,$H$55&gt;0),OR($B21&lt;&gt;Ref!$A$8,$H$56&gt;0)),COUNT(SEARCH(Sonderarbeit,$N21))&gt;=1),ISNONTEXT(C21),C21&lt;&gt;""),F21-H21,"")</f>
        <v/>
      </c>
      <c r="J21" s="90" t="str">
        <f t="array" ref="J21">IF(OR(AND(F21&lt;H21,OR(AND(OR($B21&lt;&gt;Ref!$A$7,$H$55&gt;0),OR($B21&lt;&gt;Ref!$A$8,$H$56&gt;0)),COUNT(SEARCH(Sonderarbeit,$N21))&gt;=1)),C21="Ausgleich"),H21-F21,"")</f>
        <v/>
      </c>
      <c r="K21" s="91" t="str">
        <f>IF(AND(B21=Ref!$A$8,SUM(I19:I21)&lt;SUM(J19:J21)),"-","")</f>
        <v/>
      </c>
      <c r="L21" s="92" t="str">
        <f>IF(B21=Ref!$A$8,ABS(SUM(I19:I21)-SUM(J19:J21)),"")</f>
        <v/>
      </c>
    </row>
    <row r="22" spans="1:14" ht="17.399999999999999" customHeight="1" x14ac:dyDescent="0.55000000000000004">
      <c r="A22" s="94">
        <v>4</v>
      </c>
      <c r="B22" s="85" t="str">
        <f t="shared" si="1"/>
        <v>Freitag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0.3125</v>
      </c>
      <c r="I22" s="89">
        <f t="array" ref="I22">IF(AND(F22&gt;H22,OR(AND(OR($B22&lt;&gt;Ref!$A$7,$H$55&gt;0),OR($B22&lt;&gt;Ref!$A$8,$H$56&gt;0)),COUNT(SEARCH(Sonderarbeit,$N22))&gt;=1),ISNONTEXT(C22),C22&lt;&gt;""),F22-H22,"")</f>
        <v>2.083333333333337E-2</v>
      </c>
      <c r="J22" s="90" t="str">
        <f t="array" ref="J22">IF(OR(AND(F22&lt;H22,OR(AND(OR($B22&lt;&gt;Ref!$A$7,$H$55&gt;0),OR($B22&lt;&gt;Ref!$A$8,$H$56&gt;0)),COUNT(SEARCH(Sonderarbeit,$N22))&gt;=1)),C22="Ausgleich"),H22-F22,"")</f>
        <v/>
      </c>
      <c r="K22" s="91" t="str">
        <f>IF(AND(B22=Ref!$A$8,SUM(I19:I22)&lt;SUM(J19:J22)),"-","")</f>
        <v/>
      </c>
      <c r="L22" s="92" t="str">
        <f>IF(B22=Ref!$A$8,ABS(SUM(I19:I22)-SUM(J19:J22)),"")</f>
        <v/>
      </c>
    </row>
    <row r="23" spans="1:14" ht="17.399999999999999" customHeight="1" x14ac:dyDescent="0.55000000000000004">
      <c r="A23" s="94">
        <v>5</v>
      </c>
      <c r="B23" s="85" t="str">
        <f t="shared" si="1"/>
        <v>Samstag</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v>
      </c>
      <c r="I23" s="89" t="str">
        <f t="array" ref="I23">IF(AND(F23&gt;H23,OR(AND(OR($B23&lt;&gt;Ref!$A$7,$H$55&gt;0),OR($B23&lt;&gt;Ref!$A$8,$H$56&gt;0)),COUNT(SEARCH(Sonderarbeit,$N23))&gt;=1),ISNONTEXT(C23),C23&lt;&gt;""),F23-H23,"")</f>
        <v/>
      </c>
      <c r="J23" s="90" t="str">
        <f t="array" ref="J23">IF(OR(AND(F23&lt;H23,OR(AND(OR($B23&lt;&gt;Ref!$A$7,$H$55&gt;0),OR($B23&lt;&gt;Ref!$A$8,$H$56&gt;0)),COUNT(SEARCH(Sonderarbeit,$N23))&gt;=1)),C23="Ausgleich"),H23-F23,"")</f>
        <v/>
      </c>
      <c r="K23" s="91" t="str">
        <f>IF(AND(B23=Ref!$A$8,SUM(I19:I23)&lt;SUM(J19:J23)),"-","")</f>
        <v/>
      </c>
      <c r="L23" s="92" t="str">
        <f>IF(B23=Ref!$A$8,ABS(SUM(I19:I23)-SUM(J19:J23)),"")</f>
        <v/>
      </c>
    </row>
    <row r="24" spans="1:14" ht="17.399999999999999" customHeight="1" x14ac:dyDescent="0.55000000000000004">
      <c r="A24" s="86">
        <v>6</v>
      </c>
      <c r="B24" s="85" t="str">
        <f t="shared" si="1"/>
        <v>Sonntag</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 t="shared" si="0"/>
        <v>0</v>
      </c>
      <c r="I24" s="89" t="str">
        <f t="array" ref="I24">IF(AND(F24&gt;H24,OR(AND(OR($B24&lt;&gt;Ref!$A$7,$H$55&gt;0),OR($B24&lt;&gt;Ref!$A$8,$H$56&gt;0)),COUNT(SEARCH(Sonderarbeit,$N24))&gt;=1),ISNONTEXT(C24),C24&lt;&gt;""),F24-H24,"")</f>
        <v/>
      </c>
      <c r="J24" s="90" t="str">
        <f t="array" ref="J24">IF(OR(AND(F24&lt;H24,OR(AND(OR($B24&lt;&gt;Ref!$A$7,$H$55&gt;0),OR($B24&lt;&gt;Ref!$A$8,$H$56&gt;0)),COUNT(SEARCH(Sonderarbeit,$N24))&gt;=1)),C24="Ausgleich"),H24-F24,"")</f>
        <v/>
      </c>
      <c r="K24" s="91" t="str">
        <f>IF(AND(B24=Ref!$A$8,SUM(I19:I24)&lt;SUM(J19:J24)),"-","")</f>
        <v/>
      </c>
      <c r="L24" s="92">
        <f>IF(B24=Ref!$A$8,ABS(SUM(I19:I24)-SUM(J19:J24)),"")</f>
        <v>2.083333333333337E-2</v>
      </c>
      <c r="N24" s="181"/>
    </row>
    <row r="25" spans="1:14" ht="17.399999999999999" customHeight="1" x14ac:dyDescent="0.55000000000000004">
      <c r="A25" s="94">
        <v>7</v>
      </c>
      <c r="B25" s="85" t="str">
        <f t="shared" si="1"/>
        <v>Montag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si="0"/>
        <v>0.33333333333333331</v>
      </c>
      <c r="I25" s="89" t="str">
        <f t="array" ref="I25">IF(AND(F25&gt;H25,OR(AND(OR($B25&lt;&gt;Ref!$A$7,$H$55&gt;0),OR($B25&lt;&gt;Ref!$A$8,$H$56&gt;0)),COUNT(SEARCH(Sonderarbeit,$N25))&gt;=1),ISNONTEXT(C25),C25&lt;&gt;""),F25-H25,"")</f>
        <v/>
      </c>
      <c r="J25" s="90" t="str">
        <f t="array" ref="J25">IF(OR(AND(F25&lt;H25,OR(AND(OR($B25&lt;&gt;Ref!$A$7,$H$55&gt;0),OR($B25&lt;&gt;Ref!$A$8,$H$56&gt;0)),COUNT(SEARCH(Sonderarbeit,$N25))&gt;=1)),C25="Ausgleich"),H25-F25,"")</f>
        <v/>
      </c>
      <c r="K25" s="91" t="str">
        <f>IF(AND(B25=Ref!$A$8,SUM(I19:I25)&lt;SUM(J19:J25)),"-","")</f>
        <v/>
      </c>
      <c r="L25" s="92" t="str">
        <f>IF(B25=Ref!$A$8,ABS(SUM(I19:I25)-SUM(J19:J25)),"")</f>
        <v/>
      </c>
      <c r="N25" s="181"/>
    </row>
    <row r="26" spans="1:14" ht="17.399999999999999" customHeight="1" x14ac:dyDescent="0.55000000000000004">
      <c r="A26" s="94">
        <v>8</v>
      </c>
      <c r="B26" s="85" t="str">
        <f t="shared" si="1"/>
        <v>Dienstag</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0"/>
        <v>0.33333333333333331</v>
      </c>
      <c r="I26" s="89" t="str">
        <f t="array" ref="I26">IF(AND(F26&gt;H26,OR(AND(OR($B26&lt;&gt;Ref!$A$7,$H$55&gt;0),OR($B26&lt;&gt;Ref!$A$8,$H$56&gt;0)),COUNT(SEARCH(Sonderarbeit,$N26))&gt;=1),ISNONTEXT(C26),C26&lt;&gt;""),F26-H26,"")</f>
        <v/>
      </c>
      <c r="J26" s="90" t="str">
        <f t="array" ref="J26">IF(OR(AND(F26&lt;H26,OR(AND(OR($B26&lt;&gt;Ref!$A$7,$H$55&gt;0),OR($B26&lt;&gt;Ref!$A$8,$H$56&gt;0)),COUNT(SEARCH(Sonderarbeit,$N26))&gt;=1)),C26="Ausgleich"),H26-F26,"")</f>
        <v/>
      </c>
      <c r="K26" s="91" t="str">
        <f>IF(AND(B26=Ref!$A$8,SUM(I20:I26)&lt;SUM(J20:J26)),"-","")</f>
        <v/>
      </c>
      <c r="L26" s="92" t="str">
        <f>IF(B26=Ref!$A$8,ABS(SUM(I20:I26)-SUM(J20:J26)),"")</f>
        <v/>
      </c>
    </row>
    <row r="27" spans="1:14" ht="17.399999999999999" customHeight="1" x14ac:dyDescent="0.55000000000000004">
      <c r="A27" s="86">
        <v>9</v>
      </c>
      <c r="B27" s="85" t="str">
        <f t="shared" si="1"/>
        <v>Mittwoch</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0"/>
        <v>0.33333333333333331</v>
      </c>
      <c r="I27" s="89" t="str">
        <f t="array" ref="I27">IF(AND(F27&gt;H27,OR(AND(OR($B27&lt;&gt;Ref!$A$7,$H$55&gt;0),OR($B27&lt;&gt;Ref!$A$8,$H$56&gt;0)),COUNT(SEARCH(Sonderarbeit,$N27))&gt;=1),ISNONTEXT(C27),C27&lt;&gt;""),F27-H27,"")</f>
        <v/>
      </c>
      <c r="J27" s="90" t="str">
        <f t="array" ref="J27">IF(OR(AND(F27&lt;H27,OR(AND(OR($B27&lt;&gt;Ref!$A$7,$H$55&gt;0),OR($B27&lt;&gt;Ref!$A$8,$H$56&gt;0)),COUNT(SEARCH(Sonderarbeit,$N27))&gt;=1)),C27="Ausgleich"),H27-F27,"")</f>
        <v/>
      </c>
      <c r="K27" s="91" t="str">
        <f>IF(AND(B27=Ref!$A$8,SUM(I21:I27)&lt;SUM(J21:J27)),"-","")</f>
        <v/>
      </c>
      <c r="L27" s="92" t="str">
        <f>IF(B27=Ref!$A$8,ABS(SUM(I21:I27)-SUM(J21:J27)),"")</f>
        <v/>
      </c>
    </row>
    <row r="28" spans="1:14" ht="17.399999999999999" customHeight="1" x14ac:dyDescent="0.55000000000000004">
      <c r="A28" s="86">
        <v>10</v>
      </c>
      <c r="B28" s="85" t="str">
        <f t="shared" si="1"/>
        <v>Donnerstag</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0"/>
        <v>0.33333333333333331</v>
      </c>
      <c r="I28" s="89" t="str">
        <f t="array" ref="I28">IF(AND(F28&gt;H28,OR(AND(OR($B28&lt;&gt;Ref!$A$7,$H$55&gt;0),OR($B28&lt;&gt;Ref!$A$8,$H$56&gt;0)),COUNT(SEARCH(Sonderarbeit,$N28))&gt;=1),ISNONTEXT(C28),C28&lt;&gt;""),F28-H28,"")</f>
        <v/>
      </c>
      <c r="J28" s="90" t="str">
        <f t="array" ref="J28">IF(OR(AND(F28&lt;H28,OR(AND(OR($B28&lt;&gt;Ref!$A$7,$H$55&gt;0),OR($B28&lt;&gt;Ref!$A$8,$H$56&gt;0)),COUNT(SEARCH(Sonderarbeit,$N28))&gt;=1)),C28="Ausgleich"),H28-F28,"")</f>
        <v/>
      </c>
      <c r="K28" s="91" t="str">
        <f>IF(AND(B28=Ref!$A$8,SUM(I22:I28)&lt;SUM(J22:J28)),"-","")</f>
        <v/>
      </c>
      <c r="L28" s="92" t="str">
        <f>IF(B28=Ref!$A$8,ABS(SUM(I22:I28)-SUM(J22:J28)),"")</f>
        <v/>
      </c>
      <c r="N28" s="177"/>
    </row>
    <row r="29" spans="1:14" ht="17.399999999999999" customHeight="1" x14ac:dyDescent="0.55000000000000004">
      <c r="A29" s="94">
        <v>11</v>
      </c>
      <c r="B29" s="85" t="str">
        <f t="shared" si="1"/>
        <v>Freitag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0"/>
        <v>0.3125</v>
      </c>
      <c r="I29" s="89">
        <f t="array" ref="I29">IF(AND(F29&gt;H29,OR(AND(OR($B29&lt;&gt;Ref!$A$7,$H$55&gt;0),OR($B29&lt;&gt;Ref!$A$8,$H$56&gt;0)),COUNT(SEARCH(Sonderarbeit,$N29))&gt;=1),ISNONTEXT(C29),C29&lt;&gt;""),F29-H29,"")</f>
        <v>2.083333333333337E-2</v>
      </c>
      <c r="J29" s="90" t="str">
        <f t="array" ref="J29">IF(OR(AND(F29&lt;H29,OR(AND(OR($B29&lt;&gt;Ref!$A$7,$H$55&gt;0),OR($B29&lt;&gt;Ref!$A$8,$H$56&gt;0)),COUNT(SEARCH(Sonderarbeit,$N29))&gt;=1)),C29="Ausgleich"),H29-F29,"")</f>
        <v/>
      </c>
      <c r="K29" s="91" t="str">
        <f>IF(AND(B29=Ref!$A$8,SUM(I23:I29)&lt;SUM(J23:J29)),"-","")</f>
        <v/>
      </c>
      <c r="L29" s="92" t="str">
        <f>IF(B29=Ref!$A$8,ABS(SUM(I23:I29)-SUM(J23:J29)),"")</f>
        <v/>
      </c>
    </row>
    <row r="30" spans="1:14" ht="17.399999999999999" customHeight="1" x14ac:dyDescent="0.55000000000000004">
      <c r="A30" s="94">
        <v>12</v>
      </c>
      <c r="B30" s="85" t="str">
        <f t="shared" si="1"/>
        <v>Samstag</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0"/>
        <v>0</v>
      </c>
      <c r="I30" s="89" t="str">
        <f t="array" ref="I30">IF(AND(F30&gt;H30,OR(AND(OR($B30&lt;&gt;Ref!$A$7,$H$55&gt;0),OR($B30&lt;&gt;Ref!$A$8,$H$56&gt;0)),COUNT(SEARCH(Sonderarbeit,$N30))&gt;=1),ISNONTEXT(C30),C30&lt;&gt;""),F30-H30,"")</f>
        <v/>
      </c>
      <c r="J30" s="90" t="str">
        <f t="array" ref="J30">IF(OR(AND(F30&lt;H30,OR(AND(OR($B30&lt;&gt;Ref!$A$7,$H$55&gt;0),OR($B30&lt;&gt;Ref!$A$8,$H$56&gt;0)),COUNT(SEARCH(Sonderarbeit,$N30))&gt;=1)),C30="Ausgleich"),H30-F30,"")</f>
        <v/>
      </c>
      <c r="K30" s="91" t="str">
        <f>IF(AND(B30=Ref!$A$8,SUM(I24:I30)&lt;SUM(J24:J30)),"-","")</f>
        <v/>
      </c>
      <c r="L30" s="92" t="str">
        <f>IF(B30=Ref!$A$8,ABS(SUM(I24:I30)-SUM(J24:J30)),"")</f>
        <v/>
      </c>
    </row>
    <row r="31" spans="1:14" ht="17.399999999999999" customHeight="1" x14ac:dyDescent="0.55000000000000004">
      <c r="A31" s="94">
        <v>13</v>
      </c>
      <c r="B31" s="85" t="str">
        <f t="shared" si="1"/>
        <v>Sonntag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0"/>
        <v>0</v>
      </c>
      <c r="I31" s="89" t="str">
        <f t="array" ref="I31">IF(AND(F31&gt;H31,OR(AND(OR($B31&lt;&gt;Ref!$A$7,$H$55&gt;0),OR($B31&lt;&gt;Ref!$A$8,$H$56&gt;0)),COUNT(SEARCH(Sonderarbeit,$N31))&gt;=1),ISNONTEXT(C31),C31&lt;&gt;""),F31-H31,"")</f>
        <v/>
      </c>
      <c r="J31" s="90" t="str">
        <f t="array" ref="J31">IF(OR(AND(F31&lt;H31,OR(AND(OR($B31&lt;&gt;Ref!$A$7,$H$55&gt;0),OR($B31&lt;&gt;Ref!$A$8,$H$56&gt;0)),COUNT(SEARCH(Sonderarbeit,$N31))&gt;=1)),C31="Ausgleich"),H31-F31,"")</f>
        <v/>
      </c>
      <c r="K31" s="91" t="str">
        <f>IF(AND(B31=Ref!$A$8,SUM(I25:I31)&lt;SUM(J25:J31)),"-","")</f>
        <v/>
      </c>
      <c r="L31" s="92">
        <f>IF(B31=Ref!$A$8,ABS(SUM(I25:I31)-SUM(J25:J31)),"")</f>
        <v>2.083333333333337E-2</v>
      </c>
    </row>
    <row r="32" spans="1:14" ht="17.399999999999999" customHeight="1" x14ac:dyDescent="0.55000000000000004">
      <c r="A32" s="94">
        <v>14</v>
      </c>
      <c r="B32" s="85" t="str">
        <f t="shared" si="1"/>
        <v>Montag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0"/>
        <v>0.33333333333333331</v>
      </c>
      <c r="I32" s="89" t="str">
        <f t="array" ref="I32">IF(AND(F32&gt;H32,OR(AND(OR($B32&lt;&gt;Ref!$A$7,$H$55&gt;0),OR($B32&lt;&gt;Ref!$A$8,$H$56&gt;0)),COUNT(SEARCH(Sonderarbeit,$N32))&gt;=1),ISNONTEXT(C32),C32&lt;&gt;""),F32-H32,"")</f>
        <v/>
      </c>
      <c r="J32" s="90" t="str">
        <f t="array" ref="J32">IF(OR(AND(F32&lt;H32,OR(AND(OR($B32&lt;&gt;Ref!$A$7,$H$55&gt;0),OR($B32&lt;&gt;Ref!$A$8,$H$56&gt;0)),COUNT(SEARCH(Sonderarbeit,$N32))&gt;=1)),C32="Ausgleich"),H32-F32,"")</f>
        <v/>
      </c>
      <c r="K32" s="91" t="str">
        <f>IF(AND(B32=Ref!$A$8,SUM(I26:I32)&lt;SUM(J26:J32)),"-","")</f>
        <v/>
      </c>
      <c r="L32" s="92" t="str">
        <f>IF(B32=Ref!$A$8,ABS(SUM(I26:I32)-SUM(J26:J32)),"")</f>
        <v/>
      </c>
      <c r="N32" s="181" t="s">
        <v>137</v>
      </c>
    </row>
    <row r="33" spans="1:14" ht="17.399999999999999" customHeight="1" x14ac:dyDescent="0.55000000000000004">
      <c r="A33" s="86">
        <v>15</v>
      </c>
      <c r="B33" s="85" t="str">
        <f t="shared" si="1"/>
        <v>Dienstag</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0"/>
        <v>0.33333333333333331</v>
      </c>
      <c r="I33" s="89" t="str">
        <f t="array" ref="I33">IF(AND(F33&gt;H33,OR(AND(OR($B33&lt;&gt;Ref!$A$7,$H$55&gt;0),OR($B33&lt;&gt;Ref!$A$8,$H$56&gt;0)),COUNT(SEARCH(Sonderarbeit,$N33))&gt;=1),ISNONTEXT(C33),C33&lt;&gt;""),F33-H33,"")</f>
        <v/>
      </c>
      <c r="J33" s="90" t="str">
        <f t="array" ref="J33">IF(OR(AND(F33&lt;H33,OR(AND(OR($B33&lt;&gt;Ref!$A$7,$H$55&gt;0),OR($B33&lt;&gt;Ref!$A$8,$H$56&gt;0)),COUNT(SEARCH(Sonderarbeit,$N33))&gt;=1)),C33="Ausgleich"),H33-F33,"")</f>
        <v/>
      </c>
      <c r="K33" s="91" t="str">
        <f>IF(AND(B33=Ref!$A$8,SUM(I27:I33)&lt;SUM(J27:J33)),"-","")</f>
        <v/>
      </c>
      <c r="L33" s="92" t="str">
        <f>IF(B33=Ref!$A$8,ABS(SUM(I27:I33)-SUM(J27:J33)),"")</f>
        <v/>
      </c>
      <c r="N33" s="181"/>
    </row>
    <row r="34" spans="1:14" ht="17.399999999999999" customHeight="1" x14ac:dyDescent="0.55000000000000004">
      <c r="A34" s="86">
        <v>16</v>
      </c>
      <c r="B34" s="85" t="str">
        <f t="shared" si="1"/>
        <v>Mittwoch</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0"/>
        <v>0.33333333333333331</v>
      </c>
      <c r="I34" s="89" t="str">
        <f t="array" ref="I34">IF(AND(F34&gt;H34,OR(AND(OR($B34&lt;&gt;Ref!$A$7,$H$55&gt;0),OR($B34&lt;&gt;Ref!$A$8,$H$56&gt;0)),COUNT(SEARCH(Sonderarbeit,$N34))&gt;=1),ISNONTEXT(C34),C34&lt;&gt;""),F34-H34,"")</f>
        <v/>
      </c>
      <c r="J34" s="90" t="str">
        <f t="array" ref="J34">IF(OR(AND(F34&lt;H34,OR(AND(OR($B34&lt;&gt;Ref!$A$7,$H$55&gt;0),OR($B34&lt;&gt;Ref!$A$8,$H$56&gt;0)),COUNT(SEARCH(Sonderarbeit,$N34))&gt;=1)),C34="Ausgleich"),H34-F34,"")</f>
        <v/>
      </c>
      <c r="K34" s="91" t="str">
        <f>IF(AND(B34=Ref!$A$8,SUM(I28:I34)&lt;SUM(J28:J34)),"-","")</f>
        <v/>
      </c>
      <c r="L34" s="92" t="str">
        <f>IF(B34=Ref!$A$8,ABS(SUM(I28:I34)-SUM(J28:J34)),"")</f>
        <v/>
      </c>
      <c r="M34" s="187"/>
    </row>
    <row r="35" spans="1:14" ht="17.399999999999999" customHeight="1" x14ac:dyDescent="0.55000000000000004">
      <c r="A35" s="86">
        <v>17</v>
      </c>
      <c r="B35" s="85" t="str">
        <f t="shared" si="1"/>
        <v>Donnerstag</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0"/>
        <v>0.33333333333333331</v>
      </c>
      <c r="I35" s="89" t="str">
        <f t="array" ref="I35">IF(AND(F35&gt;H35,OR(AND(OR($B35&lt;&gt;Ref!$A$7,$H$55&gt;0),OR($B35&lt;&gt;Ref!$A$8,$H$56&gt;0)),COUNT(SEARCH(Sonderarbeit,$N35))&gt;=1),ISNONTEXT(C35),C35&lt;&gt;""),F35-H35,"")</f>
        <v/>
      </c>
      <c r="J35" s="90" t="str">
        <f t="array" ref="J35">IF(OR(AND(F35&lt;H35,OR(AND(OR($B35&lt;&gt;Ref!$A$7,$H$55&gt;0),OR($B35&lt;&gt;Ref!$A$8,$H$56&gt;0)),COUNT(SEARCH(Sonderarbeit,$N35))&gt;=1)),C35="Ausgleich"),H35-F35,"")</f>
        <v/>
      </c>
      <c r="K35" s="91" t="str">
        <f>IF(AND(B35=Ref!$A$8,SUM(I29:I35)&lt;SUM(J29:J35)),"-","")</f>
        <v/>
      </c>
      <c r="L35" s="92" t="str">
        <f>IF(B35=Ref!$A$8,ABS(SUM(I29:I35)-SUM(J29:J35)),"")</f>
        <v/>
      </c>
      <c r="M35" s="187"/>
    </row>
    <row r="36" spans="1:14" ht="17.399999999999999" customHeight="1" x14ac:dyDescent="0.55000000000000004">
      <c r="A36" s="86">
        <v>18</v>
      </c>
      <c r="B36" s="85" t="str">
        <f t="shared" si="1"/>
        <v>Freitag</v>
      </c>
      <c r="C36" s="87" t="s">
        <v>94</v>
      </c>
      <c r="D36" s="213">
        <f t="array" ref="D36">IF(AND(COUNT(SEARCH(Sonderarbeit,$N36,1))&gt;=1,$B36=Ref!$A$7),Ref!$K$1,Ref!$K$2)</f>
        <v>0.70833333333333337</v>
      </c>
      <c r="E36" s="213">
        <f t="array" ref="E36">IF(AND(COUNT(SEARCH(Sonderarbeit,$N36))&gt;=1,$B36=Ref!$A$7),,Ref!$K$3)</f>
        <v>2.0833333333333332E-2</v>
      </c>
      <c r="F36" s="270">
        <f t="shared" si="2"/>
        <v>0</v>
      </c>
      <c r="G36" s="271"/>
      <c r="H36" s="88">
        <f>IF(AND(ISTEXT(C36),ISERR(SEARCH("ausgleich",C36,1))),,INDEX(H$50:H$57,WEEKDAY(DATE(J$11,MONTH(I$11),A36),2),1,1))</f>
        <v>0</v>
      </c>
      <c r="I36" s="89" t="str">
        <f t="array" ref="I36">IF(AND(F36&gt;H36,OR(AND(OR($B36&lt;&gt;Ref!$A$7,$H$55&gt;0),OR($B36&lt;&gt;Ref!$A$8,$H$56&gt;0)),COUNT(SEARCH(Sonderarbeit,$N36))&gt;=1),ISNONTEXT(C36),C36&lt;&gt;""),F36-H36,"")</f>
        <v/>
      </c>
      <c r="J36" s="90" t="str">
        <f t="array" ref="J36">IF(OR(AND(F36&lt;H36,OR(AND(OR($B36&lt;&gt;Ref!$A$7,$H$55&gt;0),OR($B36&lt;&gt;Ref!$A$8,$H$56&gt;0)),COUNT(SEARCH(Sonderarbeit,$N36))&gt;=1)),C36="Ausgleich"),H36-F36,"")</f>
        <v/>
      </c>
      <c r="K36" s="91" t="str">
        <f>IF(AND(B36=Ref!$A$8,SUM(I30:I36)&lt;SUM(J30:J36)),"-","")</f>
        <v/>
      </c>
      <c r="L36" s="92" t="str">
        <f>IF(B36=Ref!$A$8,ABS(SUM(I30:I36)-SUM(J30:J36)),"")</f>
        <v/>
      </c>
    </row>
    <row r="37" spans="1:14" ht="17.399999999999999" customHeight="1" x14ac:dyDescent="0.55000000000000004">
      <c r="A37" s="86">
        <v>19</v>
      </c>
      <c r="B37" s="85" t="str">
        <f t="shared" si="1"/>
        <v>Samstag</v>
      </c>
      <c r="C37" s="87">
        <v>0.35416666666666669</v>
      </c>
      <c r="D37" s="213">
        <f t="array" ref="D37">IF(AND(COUNT(SEARCH(Sonderarbeit,$N37,1))&gt;=1,$B37=Ref!$A$7),Ref!$K$1,Ref!$K$2)</f>
        <v>0.70833333333333337</v>
      </c>
      <c r="E37" s="213">
        <f t="array" ref="E37">IF(AND(COUNT(SEARCH(Sonderarbeit,$N37))&gt;=1,$B37=Ref!$A$7),,Ref!$K$3)</f>
        <v>2.0833333333333332E-2</v>
      </c>
      <c r="F37" s="270">
        <f t="shared" si="2"/>
        <v>0.33333333333333337</v>
      </c>
      <c r="G37" s="271"/>
      <c r="H37" s="88">
        <f t="shared" ref="H37:H48" si="3">IF(AND(ISTEXT(C37),ISERR(SEARCH("ausgleich",C37,1))),,INDEX(H$50:H$57,WEEKDAY(DATE(J$11,MONTH(I$11),A37),2),1,1))</f>
        <v>0</v>
      </c>
      <c r="I37" s="89" t="str">
        <f t="array" ref="I37">IF(AND(F37&gt;H37,OR(AND(OR($B37&lt;&gt;Ref!$A$7,$H$55&gt;0),OR($B37&lt;&gt;Ref!$A$8,$H$56&gt;0)),COUNT(SEARCH(Sonderarbeit,$N37))&gt;=1),ISNONTEXT(C37),C37&lt;&gt;""),F37-H37,"")</f>
        <v/>
      </c>
      <c r="J37" s="90" t="str">
        <f t="array" ref="J37">IF(OR(AND(F37&lt;H37,OR(AND(OR($B37&lt;&gt;Ref!$A$7,$H$55&gt;0),OR($B37&lt;&gt;Ref!$A$8,$H$56&gt;0)),COUNT(SEARCH(Sonderarbeit,$N37))&gt;=1)),C37="Ausgleich"),H37-F37,"")</f>
        <v/>
      </c>
      <c r="K37" s="91" t="str">
        <f>IF(AND(B37=Ref!$A$8,SUM(I31:I37)&lt;SUM(J31:J37)),"-","")</f>
        <v/>
      </c>
      <c r="L37" s="92" t="str">
        <f>IF(B37=Ref!$A$8,ABS(SUM(I31:I37)-SUM(J31:J37)),"")</f>
        <v/>
      </c>
      <c r="N37" s="181"/>
    </row>
    <row r="38" spans="1:14" ht="17.399999999999999" customHeight="1" x14ac:dyDescent="0.55000000000000004">
      <c r="A38" s="86">
        <v>20</v>
      </c>
      <c r="B38" s="85" t="str">
        <f t="shared" si="1"/>
        <v>Sonntag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v>
      </c>
      <c r="I38" s="89" t="str">
        <f t="array" ref="I38">IF(AND(F38&gt;H38,OR(AND(OR($B38&lt;&gt;Ref!$A$7,$H$55&gt;0),OR($B38&lt;&gt;Ref!$A$8,$H$56&gt;0)),COUNT(SEARCH(Sonderarbeit,$N38))&gt;=1),ISNONTEXT(C38),C38&lt;&gt;""),F38-H38,"")</f>
        <v/>
      </c>
      <c r="J38" s="90" t="str">
        <f t="array" ref="J38">IF(OR(AND(F38&lt;H38,OR(AND(OR($B38&lt;&gt;Ref!$A$7,$H$55&gt;0),OR($B38&lt;&gt;Ref!$A$8,$H$56&gt;0)),COUNT(SEARCH(Sonderarbeit,$N38))&gt;=1)),C38="Ausgleich"),H38-F38,"")</f>
        <v/>
      </c>
      <c r="K38" s="91" t="str">
        <f>IF(AND(B38=Ref!$A$8,SUM(I32:I38)&lt;SUM(J32:J38)),"-","")</f>
        <v/>
      </c>
      <c r="L38" s="92">
        <f>IF(B38=Ref!$A$8,ABS(SUM(I32:I38)-SUM(J32:J38)),"")</f>
        <v>0</v>
      </c>
    </row>
    <row r="39" spans="1:14" ht="17.399999999999999" customHeight="1" x14ac:dyDescent="0.55000000000000004">
      <c r="A39" s="86">
        <v>21</v>
      </c>
      <c r="B39" s="85" t="str">
        <f t="shared" si="1"/>
        <v>Montag</v>
      </c>
      <c r="C39" s="87" t="s">
        <v>95</v>
      </c>
      <c r="D39" s="213">
        <f t="array" ref="D39">IF(AND(COUNT(SEARCH(Sonderarbeit,$N39,1))&gt;=1,$B39=Ref!$A$7),Ref!$K$1,Ref!$K$2)</f>
        <v>0.70833333333333337</v>
      </c>
      <c r="E39" s="213">
        <f t="array" ref="E39">IF(AND(COUNT(SEARCH(Sonderarbeit,$N39))&gt;=1,$B39=Ref!$A$7),,Ref!$K$3)</f>
        <v>2.0833333333333332E-2</v>
      </c>
      <c r="F39" s="270">
        <f t="shared" si="2"/>
        <v>0</v>
      </c>
      <c r="G39" s="271"/>
      <c r="H39" s="88">
        <f t="shared" si="3"/>
        <v>0</v>
      </c>
      <c r="I39" s="89" t="str">
        <f t="array" ref="I39">IF(AND(F39&gt;H39,OR(AND(OR($B39&lt;&gt;Ref!$A$7,$H$55&gt;0),OR($B39&lt;&gt;Ref!$A$8,$H$56&gt;0)),COUNT(SEARCH(Sonderarbeit,$N39))&gt;=1),ISNONTEXT(C39),C39&lt;&gt;""),F39-H39,"")</f>
        <v/>
      </c>
      <c r="J39" s="90" t="str">
        <f t="array" ref="J39">IF(OR(AND(F39&lt;H39,OR(AND(OR($B39&lt;&gt;Ref!$A$7,$H$55&gt;0),OR($B39&lt;&gt;Ref!$A$8,$H$56&gt;0)),COUNT(SEARCH(Sonderarbeit,$N39))&gt;=1)),C39="Ausgleich"),H39-F39,"")</f>
        <v/>
      </c>
      <c r="K39" s="91" t="str">
        <f>IF(AND(B39=Ref!$A$8,SUM(I33:I39)&lt;SUM(J33:J39)),"-","")</f>
        <v/>
      </c>
      <c r="L39" s="92" t="str">
        <f>IF(B39=Ref!$A$8,ABS(SUM(I33:I39)-SUM(J33:J39)),"")</f>
        <v/>
      </c>
    </row>
    <row r="40" spans="1:14" ht="17.399999999999999" customHeight="1" x14ac:dyDescent="0.55000000000000004">
      <c r="A40" s="86">
        <v>22</v>
      </c>
      <c r="B40" s="85" t="str">
        <f t="shared" si="1"/>
        <v>Dienstag</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0.33333333333333331</v>
      </c>
      <c r="I40" s="89" t="str">
        <f t="array" ref="I40">IF(AND(F40&gt;H40,OR(AND(OR($B40&lt;&gt;Ref!$A$7,$H$55&gt;0),OR($B40&lt;&gt;Ref!$A$8,$H$56&gt;0)),COUNT(SEARCH(Sonderarbeit,$N40))&gt;=1),ISNONTEXT(C40),C40&lt;&gt;""),F40-H40,"")</f>
        <v/>
      </c>
      <c r="J40" s="90" t="str">
        <f t="array" ref="J40">IF(OR(AND(F40&lt;H40,OR(AND(OR($B40&lt;&gt;Ref!$A$7,$H$55&gt;0),OR($B40&lt;&gt;Ref!$A$8,$H$56&gt;0)),COUNT(SEARCH(Sonderarbeit,$N40))&gt;=1)),C40="Ausgleich"),H40-F40,"")</f>
        <v/>
      </c>
      <c r="K40" s="91" t="str">
        <f>IF(AND(B40=Ref!$A$8,SUM(I34:I40)&lt;SUM(J34:J40)),"-","")</f>
        <v/>
      </c>
      <c r="L40" s="92" t="str">
        <f>IF(B40=Ref!$A$8,ABS(SUM(I34:I40)-SUM(J34:J40)),"")</f>
        <v/>
      </c>
    </row>
    <row r="41" spans="1:14" ht="17.399999999999999" customHeight="1" x14ac:dyDescent="0.55000000000000004">
      <c r="A41" s="86">
        <v>23</v>
      </c>
      <c r="B41" s="85" t="str">
        <f t="shared" si="1"/>
        <v>Mittwoch</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0.33333333333333331</v>
      </c>
      <c r="I41" s="89" t="str">
        <f t="array" ref="I41">IF(AND(F41&gt;H41,OR(AND(OR($B41&lt;&gt;Ref!$A$7,$H$55&gt;0),OR($B41&lt;&gt;Ref!$A$8,$H$56&gt;0)),COUNT(SEARCH(Sonderarbeit,$N41))&gt;=1),ISNONTEXT(C41),C41&lt;&gt;""),F41-H41,"")</f>
        <v/>
      </c>
      <c r="J41" s="90" t="str">
        <f t="array" ref="J41">IF(OR(AND(F41&lt;H41,OR(AND(OR($B41&lt;&gt;Ref!$A$7,$H$55&gt;0),OR($B41&lt;&gt;Ref!$A$8,$H$56&gt;0)),COUNT(SEARCH(Sonderarbeit,$N41))&gt;=1)),C41="Ausgleich"),H41-F41,"")</f>
        <v/>
      </c>
      <c r="K41" s="91" t="str">
        <f>IF(AND(B41=Ref!$A$8,SUM(I35:I41)&lt;SUM(J35:J41)),"-","")</f>
        <v/>
      </c>
      <c r="L41" s="92" t="str">
        <f>IF(B41=Ref!$A$8,ABS(SUM(I35:I41)-SUM(J35:J41)),"")</f>
        <v/>
      </c>
    </row>
    <row r="42" spans="1:14" ht="17.399999999999999" customHeight="1" x14ac:dyDescent="0.55000000000000004">
      <c r="A42" s="86">
        <v>24</v>
      </c>
      <c r="B42" s="85" t="str">
        <f t="shared" si="1"/>
        <v>Donnerstag</v>
      </c>
      <c r="C42" s="87">
        <v>0.35416666666666669</v>
      </c>
      <c r="D42" s="213">
        <f t="array" ref="D42">IF(AND(COUNT(SEARCH(Sonderarbeit,$N42,1))&gt;=1,$B42=Ref!$A$7),Ref!$K$1,Ref!$K$2)</f>
        <v>0.70833333333333337</v>
      </c>
      <c r="E42" s="213">
        <f t="array" ref="E42">IF(AND(COUNT(SEARCH(Sonderarbeit,$N42))&gt;=1,$B42=Ref!$A$7),,Ref!$K$3)</f>
        <v>2.0833333333333332E-2</v>
      </c>
      <c r="F42" s="270">
        <f t="shared" si="2"/>
        <v>0.33333333333333337</v>
      </c>
      <c r="G42" s="271"/>
      <c r="H42" s="88">
        <f t="shared" si="3"/>
        <v>0.33333333333333331</v>
      </c>
      <c r="I42" s="89" t="str">
        <f t="array" ref="I42">IF(AND(F42&gt;H42,OR(AND(OR($B42&lt;&gt;Ref!$A$7,$H$55&gt;0),OR($B42&lt;&gt;Ref!$A$8,$H$56&gt;0)),COUNT(SEARCH(Sonderarbeit,$N42))&gt;=1),ISNONTEXT(C42),C42&lt;&gt;""),F42-H42,"")</f>
        <v/>
      </c>
      <c r="J42" s="90" t="str">
        <f t="array" ref="J42">IF(OR(AND(F42&lt;H42,OR(AND(OR($B42&lt;&gt;Ref!$A$7,$H$55&gt;0),OR($B42&lt;&gt;Ref!$A$8,$H$56&gt;0)),COUNT(SEARCH(Sonderarbeit,$N42))&gt;=1)),C42="Ausgleich"),H42-F42,"")</f>
        <v/>
      </c>
      <c r="K42" s="91" t="str">
        <f>IF(AND(B42=Ref!$A$8,SUM(I36:I42)&lt;SUM(J36:J42)),"-","")</f>
        <v/>
      </c>
      <c r="L42" s="92" t="str">
        <f>IF(B42=Ref!$A$8,ABS(SUM(I36:I42)-SUM(J36:J42)),"")</f>
        <v/>
      </c>
    </row>
    <row r="43" spans="1:14" ht="17.399999999999999" customHeight="1" x14ac:dyDescent="0.55000000000000004">
      <c r="A43" s="86">
        <v>25</v>
      </c>
      <c r="B43" s="85" t="str">
        <f t="shared" si="1"/>
        <v>Freitag</v>
      </c>
      <c r="C43" s="87">
        <v>0.35416666666666669</v>
      </c>
      <c r="D43" s="213">
        <f t="array" ref="D43">IF(AND(COUNT(SEARCH(Sonderarbeit,$N43,1))&gt;=1,$B43=Ref!$A$7),Ref!$K$1,Ref!$K$2)</f>
        <v>0.70833333333333337</v>
      </c>
      <c r="E43" s="213">
        <f t="array" ref="E43">IF(AND(COUNT(SEARCH(Sonderarbeit,$N43))&gt;=1,$B43=Ref!$A$7),,Ref!$K$3)</f>
        <v>2.0833333333333332E-2</v>
      </c>
      <c r="F43" s="270">
        <f t="shared" si="2"/>
        <v>0.33333333333333337</v>
      </c>
      <c r="G43" s="271"/>
      <c r="H43" s="88">
        <f t="shared" si="3"/>
        <v>0.3125</v>
      </c>
      <c r="I43" s="89">
        <f t="array" ref="I43">IF(AND(F43&gt;H43,OR(AND(OR($B43&lt;&gt;Ref!$A$7,$H$55&gt;0),OR($B43&lt;&gt;Ref!$A$8,$H$56&gt;0)),COUNT(SEARCH(Sonderarbeit,$N43))&gt;=1),ISNONTEXT(C43),C43&lt;&gt;""),F43-H43,"")</f>
        <v>2.083333333333337E-2</v>
      </c>
      <c r="J43" s="90" t="str">
        <f t="array" ref="J43">IF(OR(AND(F43&lt;H43,OR(AND(OR($B43&lt;&gt;Ref!$A$7,$H$55&gt;0),OR($B43&lt;&gt;Ref!$A$8,$H$56&gt;0)),COUNT(SEARCH(Sonderarbeit,$N43))&gt;=1)),C43="Ausgleich"),H43-F43,"")</f>
        <v/>
      </c>
      <c r="K43" s="91" t="str">
        <f>IF(AND(B43=Ref!$A$8,SUM(I37:I43)&lt;SUM(J37:J43)),"-","")</f>
        <v/>
      </c>
      <c r="L43" s="92" t="str">
        <f>IF(B43=Ref!$A$8,ABS(SUM(I37:I43)-SUM(J37:J43)),"")</f>
        <v/>
      </c>
      <c r="N43" s="181" t="str">
        <f>"&lt;- 2025 Schulferien BW " &amp; IF(Mantelbogen!$C$8="Geschäftsstelle", "2025 Klassensitzung", "")</f>
        <v>&lt;- 2025 Schulferien BW 2025 Klassensitzung</v>
      </c>
    </row>
    <row r="44" spans="1:14" ht="17.399999999999999" customHeight="1" x14ac:dyDescent="0.55000000000000004">
      <c r="A44" s="86">
        <v>26</v>
      </c>
      <c r="B44" s="85" t="str">
        <f t="shared" si="1"/>
        <v>Samstag</v>
      </c>
      <c r="C44" s="87">
        <v>0.35416666666666669</v>
      </c>
      <c r="D44" s="213">
        <f t="array" ref="D44">IF(AND(COUNT(SEARCH(Sonderarbeit,$N44,1))&gt;=1,$B44=Ref!$A$7),Ref!$K$1,Ref!$K$2)</f>
        <v>0.35416666666666669</v>
      </c>
      <c r="E44" s="213">
        <f t="array" ref="E44">IF(AND(COUNT(SEARCH(Sonderarbeit,$N44))&gt;=1,$B44=Ref!$A$7),,Ref!$K$3)</f>
        <v>0</v>
      </c>
      <c r="F44" s="270">
        <f t="shared" si="2"/>
        <v>0</v>
      </c>
      <c r="G44" s="271"/>
      <c r="H44" s="88">
        <f t="shared" si="3"/>
        <v>0</v>
      </c>
      <c r="I44" s="89" t="str">
        <f t="array" ref="I44">IF(AND(F44&gt;H44,OR(AND(OR($B44&lt;&gt;Ref!$A$7,$H$55&gt;0),OR($B44&lt;&gt;Ref!$A$8,$H$56&gt;0)),COUNT(SEARCH(Sonderarbeit,$N44))&gt;=1),ISNONTEXT(C44),C44&lt;&gt;""),F44-H44,"")</f>
        <v/>
      </c>
      <c r="J44" s="90" t="str">
        <f t="array" ref="J44">IF(OR(AND(F44&lt;H44,OR(AND(OR($B44&lt;&gt;Ref!$A$7,$H$55&gt;0),OR($B44&lt;&gt;Ref!$A$8,$H$56&gt;0)),COUNT(SEARCH(Sonderarbeit,$N44))&gt;=1)),C44="Ausgleich"),H44-F44,"")</f>
        <v/>
      </c>
      <c r="K44" s="91" t="str">
        <f>IF(AND(B44=Ref!$A$8,SUM(I38:I44)&lt;SUM(J38:J44)),"-","")</f>
        <v/>
      </c>
      <c r="L44" s="92" t="str">
        <f>IF(B44=Ref!$A$8,ABS(SUM(I38:I44)-SUM(J38:J44)),"")</f>
        <v/>
      </c>
      <c r="N44" s="181" t="str">
        <f>IF(Mantelbogen!$C$8="Geschäftsstelle", "2025 Gesamtsitzung", "")</f>
        <v>2025 Gesamtsitzung</v>
      </c>
    </row>
    <row r="45" spans="1:14" ht="17.399999999999999" customHeight="1" x14ac:dyDescent="0.55000000000000004">
      <c r="A45" s="86">
        <v>27</v>
      </c>
      <c r="B45" s="85" t="str">
        <f t="shared" si="1"/>
        <v>Sonntag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v>
      </c>
      <c r="I45" s="89" t="str">
        <f t="array" ref="I45">IF(AND(F45&gt;H45,OR(AND(OR($B45&lt;&gt;Ref!$A$7,$H$55&gt;0),OR($B45&lt;&gt;Ref!$A$8,$H$56&gt;0)),COUNT(SEARCH(Sonderarbeit,$N45))&gt;=1),ISNONTEXT(C45),C45&lt;&gt;""),F45-H45,"")</f>
        <v/>
      </c>
      <c r="J45" s="90" t="str">
        <f t="array" ref="J45">IF(OR(AND(F45&lt;H45,OR(AND(OR($B45&lt;&gt;Ref!$A$7,$H$55&gt;0),OR($B45&lt;&gt;Ref!$A$8,$H$56&gt;0)),COUNT(SEARCH(Sonderarbeit,$N45))&gt;=1)),C45="Ausgleich"),H45-F45,"")</f>
        <v/>
      </c>
      <c r="K45" s="91" t="str">
        <f>IF(AND(B45=Ref!$A$8,SUM(I39:I45)&lt;SUM(J39:J45)),"-","")</f>
        <v/>
      </c>
      <c r="L45" s="92">
        <f>IF(B45=Ref!$A$8,ABS(SUM(I39:I45)-SUM(J39:J45)),"")</f>
        <v>2.083333333333337E-2</v>
      </c>
      <c r="N45" s="181"/>
    </row>
    <row r="46" spans="1:14" ht="17.399999999999999" customHeight="1" x14ac:dyDescent="0.55000000000000004">
      <c r="A46" s="86">
        <v>28</v>
      </c>
      <c r="B46" s="85" t="str">
        <f t="shared" si="1"/>
        <v>Montag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0.33333333333333331</v>
      </c>
      <c r="I46" s="89" t="str">
        <f t="array" ref="I46">IF(AND(F46&gt;H46,OR(AND(OR($B46&lt;&gt;Ref!$A$7,$H$55&gt;0),OR($B46&lt;&gt;Ref!$A$8,$H$56&gt;0)),COUNT(SEARCH(Sonderarbeit,$N46))&gt;=1),ISNONTEXT(C46),C46&lt;&gt;""),F46-H46,"")</f>
        <v/>
      </c>
      <c r="J46" s="90" t="str">
        <f t="array" ref="J46">IF(OR(AND(F46&lt;H46,OR(AND(OR($B46&lt;&gt;Ref!$A$7,$H$55&gt;0),OR($B46&lt;&gt;Ref!$A$8,$H$56&gt;0)),COUNT(SEARCH(Sonderarbeit,$N46))&gt;=1)),C46="Ausgleich"),H46-F46,"")</f>
        <v/>
      </c>
      <c r="K46" s="91" t="str">
        <f>IF(AND(B46=Ref!$A$8,SUM(I40:I46)&lt;SUM(J40:J46)),"-","")</f>
        <v/>
      </c>
      <c r="L46" s="92" t="str">
        <f>IF(B46=Ref!$A$8,ABS(SUM(I40:I46)-SUM(J40:J46)),"")</f>
        <v/>
      </c>
    </row>
    <row r="47" spans="1:14" ht="17.399999999999999" customHeight="1" x14ac:dyDescent="0.55000000000000004">
      <c r="A47" s="86">
        <v>29</v>
      </c>
      <c r="B47" s="85" t="str">
        <f t="shared" si="1"/>
        <v>Dienstag</v>
      </c>
      <c r="C47" s="87">
        <v>0.35416666666666669</v>
      </c>
      <c r="D47" s="213">
        <f t="array" ref="D47">IF(AND(COUNT(SEARCH(Sonderarbeit,$N47,1))&gt;=1,$B47=Ref!$A$7),Ref!$K$1,Ref!$K$2)</f>
        <v>0.70833333333333337</v>
      </c>
      <c r="E47" s="213">
        <f t="array" ref="E47">IF(AND(COUNT(SEARCH(Sonderarbeit,$N47))&gt;=1,$B47=Ref!$A$7),,Ref!$K$3)</f>
        <v>2.0833333333333332E-2</v>
      </c>
      <c r="F47" s="270">
        <f t="shared" si="2"/>
        <v>0.33333333333333337</v>
      </c>
      <c r="G47" s="271"/>
      <c r="H47" s="88">
        <f t="shared" si="3"/>
        <v>0.33333333333333331</v>
      </c>
      <c r="I47" s="89" t="str">
        <f t="array" ref="I47">IF(AND(F47&gt;H47,OR(AND(OR($B47&lt;&gt;Ref!$A$7,$H$55&gt;0),OR($B47&lt;&gt;Ref!$A$8,$H$56&gt;0)),COUNT(SEARCH(Sonderarbeit,$N47))&gt;=1),ISNONTEXT(C47),C47&lt;&gt;""),F47-H47,"")</f>
        <v/>
      </c>
      <c r="J47" s="90" t="str">
        <f t="array" ref="J47">IF(OR(AND(F47&lt;H47,OR(AND(OR($B47&lt;&gt;Ref!$A$7,$H$55&gt;0),OR($B47&lt;&gt;Ref!$A$8,$H$56&gt;0)),COUNT(SEARCH(Sonderarbeit,$N47))&gt;=1)),C47="Ausgleich"),H47-F47,"")</f>
        <v/>
      </c>
      <c r="K47" s="91" t="str">
        <f>IF(AND(B47=Ref!$A$8,SUM(I41:I47)&lt;SUM(J41:J47)),"-","")</f>
        <v/>
      </c>
      <c r="L47" s="92" t="str">
        <f>IF(B47=Ref!$A$8,ABS(SUM(I41:I47)-SUM(J41:J47)),"")</f>
        <v/>
      </c>
    </row>
    <row r="48" spans="1:14" ht="17.399999999999999" customHeight="1" x14ac:dyDescent="0.55000000000000004">
      <c r="A48" s="86">
        <v>30</v>
      </c>
      <c r="B48" s="85" t="str">
        <f t="shared" si="1"/>
        <v>Mittwoch</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0.33333333333333331</v>
      </c>
      <c r="I48" s="89" t="str">
        <f t="array" ref="I48">IF(AND(F48&gt;H48,OR(AND(OR($B48&lt;&gt;Ref!$A$7,$H$55&gt;0),OR($B48&lt;&gt;Ref!$A$8,$H$56&gt;0)),COUNT(SEARCH(Sonderarbeit,$N48))&gt;=1),ISNONTEXT(C48),C48&lt;&gt;""),F48-H48,"")</f>
        <v/>
      </c>
      <c r="J48" s="90" t="str">
        <f t="array" ref="J48">IF(OR(AND(F48&lt;H48,OR(AND(OR($B48&lt;&gt;Ref!$A$7,$H$55&gt;0),OR($B48&lt;&gt;Ref!$A$8,$H$56&gt;0)),COUNT(SEARCH(Sonderarbeit,$N48))&gt;=1)),C48="Ausgleich"),H48-F48,"")</f>
        <v/>
      </c>
      <c r="K48" s="95" t="str">
        <f ca="1">IF(SUM(INDIRECT("I"&amp;ROW()-WEEKDAY(DATE(J$11,MONTH(I$11),A48),3)):I48) &lt; SUM(INDIRECT("j"&amp;ROW()-WEEKDAY(DATE(J$11,MONTH(I$11),A48),3)):J48),"-","")</f>
        <v/>
      </c>
      <c r="L48" s="96">
        <f ca="1">ABS(SUM(INDIRECT("I"&amp;ROW()-WEEKDAY(DATE(J$11,MONTH(I$11),A48),3)):I48)-SUM(INDIRECT("j"&amp;ROW()-WEEKDAY(DATE(J$11,MONTH(I$11),A48))):J48))</f>
        <v>0</v>
      </c>
    </row>
    <row r="49" spans="1:14" s="20" customFormat="1" ht="17.399999999999999" customHeight="1" thickBot="1" x14ac:dyDescent="0.35">
      <c r="A49" s="98" t="str">
        <f>Jan!A50</f>
        <v>Sonstige Zeiten laut beigefügter Aufstellung (s. Anlage):</v>
      </c>
      <c r="B49" s="99"/>
      <c r="C49" s="100"/>
      <c r="D49" s="101"/>
      <c r="E49" s="101"/>
      <c r="F49" s="101"/>
      <c r="G49" s="101"/>
      <c r="H49" s="165"/>
      <c r="I49" s="145">
        <v>0</v>
      </c>
      <c r="J49" s="146">
        <v>0</v>
      </c>
      <c r="K49" s="147"/>
      <c r="L49" s="148"/>
      <c r="M49" s="183"/>
      <c r="N49" s="183"/>
    </row>
    <row r="50" spans="1:14" x14ac:dyDescent="0.3">
      <c r="A50" s="326" t="s">
        <v>3</v>
      </c>
      <c r="B50" s="326"/>
      <c r="C50" s="326"/>
      <c r="D50" s="326"/>
      <c r="E50" s="105"/>
      <c r="F50" s="105"/>
      <c r="G50" s="105"/>
      <c r="H50" s="166">
        <f>Mar!H51</f>
        <v>0.33333333333333331</v>
      </c>
      <c r="I50" s="273">
        <f>SUM(I17:I49)</f>
        <v>0.33333333333333393</v>
      </c>
      <c r="J50" s="275">
        <f>SUM(J17:J49)</f>
        <v>0</v>
      </c>
      <c r="K50" s="252" t="str">
        <f ca="1">IF(SUMIF(K19:K48,"",L19:L48)&lt;SUMIF(K19:K48,"-",L19:L48),"-","")</f>
        <v/>
      </c>
      <c r="L50" s="254">
        <f ca="1">ABS(SUMIF(K19:K48,"",L19:L48)-SUMIF(K19:K48,"-",L19:L48))</f>
        <v>6.2500000000000111E-2</v>
      </c>
    </row>
    <row r="51" spans="1:14" ht="13.5" thickBot="1" x14ac:dyDescent="0.35">
      <c r="A51" s="258"/>
      <c r="B51" s="258"/>
      <c r="C51" s="258"/>
      <c r="D51" s="258"/>
      <c r="E51" s="105"/>
      <c r="F51" s="105"/>
      <c r="G51" s="106" t="s">
        <v>12</v>
      </c>
      <c r="H51" s="167">
        <f>Mar!H52</f>
        <v>0.33333333333333331</v>
      </c>
      <c r="I51" s="274"/>
      <c r="J51" s="276"/>
      <c r="K51" s="253"/>
      <c r="L51" s="255"/>
    </row>
    <row r="52" spans="1:14" x14ac:dyDescent="0.3">
      <c r="A52" s="258"/>
      <c r="B52" s="258"/>
      <c r="C52" s="258"/>
      <c r="D52" s="258"/>
      <c r="E52" s="105"/>
      <c r="F52" s="105"/>
      <c r="G52" s="107"/>
      <c r="H52" s="167">
        <f>Mar!H53</f>
        <v>0.33333333333333331</v>
      </c>
      <c r="I52" s="268">
        <f>IF(I50&gt;J50,I50-J50,0)</f>
        <v>0.33333333333333393</v>
      </c>
      <c r="J52" s="266" t="str">
        <f>IF(J50&gt;I50,J50-I50,"")</f>
        <v/>
      </c>
      <c r="K52" s="110"/>
      <c r="L52" s="110"/>
    </row>
    <row r="53" spans="1:14" ht="13.5" thickBot="1" x14ac:dyDescent="0.35">
      <c r="A53" s="265" t="s">
        <v>15</v>
      </c>
      <c r="B53" s="265"/>
      <c r="C53" s="265"/>
      <c r="D53" s="265"/>
      <c r="E53" s="109"/>
      <c r="F53" s="109"/>
      <c r="G53" s="106" t="s">
        <v>13</v>
      </c>
      <c r="H53" s="167">
        <f>Mar!H54</f>
        <v>0.33333333333333331</v>
      </c>
      <c r="I53" s="269"/>
      <c r="J53" s="267"/>
      <c r="K53" s="110"/>
      <c r="L53" s="110"/>
    </row>
    <row r="54" spans="1:14" ht="13.5" thickBot="1" x14ac:dyDescent="0.35">
      <c r="A54" s="257" t="s">
        <v>4</v>
      </c>
      <c r="B54" s="257"/>
      <c r="C54" s="257"/>
      <c r="D54" s="257"/>
      <c r="E54" s="109"/>
      <c r="F54" s="109"/>
      <c r="G54" s="109"/>
      <c r="H54" s="167">
        <f>Mar!H55</f>
        <v>0.3125</v>
      </c>
      <c r="I54" s="109"/>
      <c r="J54" s="109"/>
      <c r="K54" s="110"/>
      <c r="L54" s="110"/>
    </row>
    <row r="55" spans="1:14" ht="13.25" customHeight="1" x14ac:dyDescent="0.3">
      <c r="A55" s="258"/>
      <c r="B55" s="258"/>
      <c r="C55" s="258"/>
      <c r="D55" s="258"/>
      <c r="E55" s="149" t="str">
        <f>Jan!E56</f>
        <v xml:space="preserve"> </v>
      </c>
      <c r="F55" s="150"/>
      <c r="G55" s="151" t="str">
        <f>IF(E55=" ", " ", IF(Mantelbogen!D26=I11,Mantelbogen!C29,Mar!G58))</f>
        <v xml:space="preserve"> </v>
      </c>
      <c r="H55" s="168">
        <v>0</v>
      </c>
      <c r="I55" s="259" t="s">
        <v>123</v>
      </c>
      <c r="J55" s="260"/>
      <c r="K55" s="110"/>
      <c r="L55" s="110"/>
    </row>
    <row r="56" spans="1:14" ht="13.5" thickBot="1" x14ac:dyDescent="0.35">
      <c r="A56" s="258"/>
      <c r="B56" s="258"/>
      <c r="C56" s="258"/>
      <c r="D56" s="258"/>
      <c r="E56" s="149" t="str">
        <f>Jan!E57</f>
        <v xml:space="preserve"> </v>
      </c>
      <c r="F56" s="151"/>
      <c r="G56" s="151" t="str">
        <f>IF(E55=" ", " ", -COUNTIF(C19:C48, "Urlaub*" ))</f>
        <v xml:space="preserve"> </v>
      </c>
      <c r="H56" s="169">
        <v>0</v>
      </c>
      <c r="I56" s="261"/>
      <c r="J56" s="262"/>
      <c r="K56" s="110"/>
      <c r="L56" s="110"/>
    </row>
    <row r="57" spans="1:14" ht="24.5" customHeight="1" thickBot="1" x14ac:dyDescent="0.35">
      <c r="A57" s="265" t="s">
        <v>10</v>
      </c>
      <c r="B57" s="265"/>
      <c r="C57" s="265"/>
      <c r="D57" s="265"/>
      <c r="E57" s="152" t="str">
        <f>Jan!E58</f>
        <v xml:space="preserve"> </v>
      </c>
      <c r="F57" s="153"/>
      <c r="G57" s="154" t="str">
        <f>IF(E55=" ", " ", IF(Mantelbogen!C29 &gt; 0.0001, G55+G56, 0))</f>
        <v xml:space="preserve"> </v>
      </c>
      <c r="H57" s="195">
        <f>SUM(H50:H56)</f>
        <v>1.6458333333333333</v>
      </c>
      <c r="I57" s="263"/>
      <c r="J57" s="264"/>
      <c r="K57" s="105"/>
      <c r="L57" s="118" t="str">
        <f>Mantelbogen!D47</f>
        <v>10.01.2024  HAdW / G. Wolff</v>
      </c>
    </row>
    <row r="59" spans="1:14" x14ac:dyDescent="0.3">
      <c r="G59" s="256"/>
      <c r="H59" s="256"/>
      <c r="I59" s="256"/>
      <c r="J59" s="21"/>
    </row>
    <row r="60" spans="1:14" x14ac:dyDescent="0.3">
      <c r="G60" s="21"/>
      <c r="H60" s="21"/>
      <c r="I60" s="21"/>
      <c r="J60" s="21"/>
    </row>
    <row r="61" spans="1:14" x14ac:dyDescent="0.3">
      <c r="G61" s="21"/>
      <c r="H61" s="21"/>
    </row>
  </sheetData>
  <sheetProtection password="9BC9" sheet="1" objects="1" scenarios="1"/>
  <mergeCells count="63">
    <mergeCell ref="A3:E3"/>
    <mergeCell ref="A1:E2"/>
    <mergeCell ref="I12:L13"/>
    <mergeCell ref="A53:D53"/>
    <mergeCell ref="G59:I59"/>
    <mergeCell ref="A54:D54"/>
    <mergeCell ref="A55:D56"/>
    <mergeCell ref="I55:J57"/>
    <mergeCell ref="A57:D57"/>
    <mergeCell ref="J52:J53"/>
    <mergeCell ref="I52:I53"/>
    <mergeCell ref="F48:G48"/>
    <mergeCell ref="A50:D50"/>
    <mergeCell ref="I50:I51"/>
    <mergeCell ref="J50:J51"/>
    <mergeCell ref="A51:D52"/>
    <mergeCell ref="F47:G47"/>
    <mergeCell ref="F36:G36"/>
    <mergeCell ref="F37:G37"/>
    <mergeCell ref="F38:G38"/>
    <mergeCell ref="F39:G39"/>
    <mergeCell ref="F40:G40"/>
    <mergeCell ref="F41:G41"/>
    <mergeCell ref="F42:G42"/>
    <mergeCell ref="F43:G43"/>
    <mergeCell ref="F44:G44"/>
    <mergeCell ref="F45:G45"/>
    <mergeCell ref="F46:G46"/>
    <mergeCell ref="H15:H18"/>
    <mergeCell ref="F22:G22"/>
    <mergeCell ref="F35:G35"/>
    <mergeCell ref="F24:G24"/>
    <mergeCell ref="F25:G25"/>
    <mergeCell ref="F26:G26"/>
    <mergeCell ref="F27:G27"/>
    <mergeCell ref="F28:G28"/>
    <mergeCell ref="F29:G29"/>
    <mergeCell ref="F30:G30"/>
    <mergeCell ref="F31:G31"/>
    <mergeCell ref="F32:G32"/>
    <mergeCell ref="F33:G33"/>
    <mergeCell ref="F34:G34"/>
    <mergeCell ref="E15:E18"/>
    <mergeCell ref="F15:G18"/>
    <mergeCell ref="F19:G19"/>
    <mergeCell ref="F20:G20"/>
    <mergeCell ref="F21:G21"/>
    <mergeCell ref="K50:K51"/>
    <mergeCell ref="L50:L51"/>
    <mergeCell ref="G1:J7"/>
    <mergeCell ref="A4:E6"/>
    <mergeCell ref="A11:B11"/>
    <mergeCell ref="A13:B13"/>
    <mergeCell ref="A15:A18"/>
    <mergeCell ref="I15:J15"/>
    <mergeCell ref="I17:I18"/>
    <mergeCell ref="J17:J18"/>
    <mergeCell ref="K15:L16"/>
    <mergeCell ref="K17:L18"/>
    <mergeCell ref="F23:G23"/>
    <mergeCell ref="B15:B18"/>
    <mergeCell ref="C15:C18"/>
    <mergeCell ref="D15:D18"/>
  </mergeCells>
  <phoneticPr fontId="0" type="noConversion"/>
  <conditionalFormatting sqref="C19:C48">
    <cfRule type="expression" dxfId="43" priority="13">
      <formula>ISTEXT($C19)</formula>
    </cfRule>
  </conditionalFormatting>
  <conditionalFormatting sqref="A19:L48">
    <cfRule type="expression" dxfId="42" priority="11">
      <formula>AND(ISTEXT($C19),$C19&lt;&gt;"Kinderkrankentag",$C19&lt;&gt;"Urlaub",$C19&lt;&gt;"Krank",$C19&lt;&gt;"Ausgleich")</formula>
    </cfRule>
  </conditionalFormatting>
  <conditionalFormatting sqref="D19:H48">
    <cfRule type="expression" dxfId="41" priority="10">
      <formula>AND(ISTEXT($C19),OR($C19="Kinderkrankentag",$C19="Urlaub",$C19="Krank",$C19="Ausgleich"))</formula>
    </cfRule>
  </conditionalFormatting>
  <conditionalFormatting sqref="D19:J48">
    <cfRule type="expression" dxfId="40" priority="3">
      <formula>AND(ISTEXT($C19),$C19&lt;&gt;"Kinderkrankentag",$C19&lt;&gt;"Urlaub",$C19&lt;&gt;"Krank",$C19&lt;&gt;"Ausgleich")</formula>
    </cfRule>
  </conditionalFormatting>
  <conditionalFormatting sqref="A19:A48 C19:L48">
    <cfRule type="expression" dxfId="39" priority="1">
      <formula>COUNT(SEARCH(Sonderarbeit,$N19))&gt;=1</formula>
    </cfRule>
  </conditionalFormatting>
  <conditionalFormatting sqref="F19:F48">
    <cfRule type="expression" dxfId="38" priority="42">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5" xr:uid="{A0BAEC64-1D98-42C4-B4CC-F6952797F025}">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6" id="{7B11B441-9B75-4776-B60E-C1F518562D47}">
            <xm:f>AND($B19=Ref!$A$8, $H$56&gt;0.00001)</xm:f>
            <x14:dxf>
              <font>
                <b val="0"/>
                <i val="0"/>
                <color theme="1"/>
              </font>
            </x14:dxf>
          </x14:cfRule>
          <xm:sqref>C19:C48</xm:sqref>
        </x14:conditionalFormatting>
        <x14:conditionalFormatting xmlns:xm="http://schemas.microsoft.com/office/excel/2006/main">
          <x14:cfRule type="expression" priority="12" id="{5C02ABC6-357E-43F5-8576-20E5E259018C}">
            <xm:f>OR(AND($B19=Ref!$A$7,$H$55=0), AND($B19=Ref!$A$8,$H$56=0), NOT( ISERROR(FIND("feiertag",LOWER($C19)) ) ) )</xm:f>
            <x14:dxf>
              <fill>
                <patternFill patternType="solid">
                  <bgColor rgb="FF99CCFF"/>
                </patternFill>
              </fill>
            </x14:dxf>
          </x14:cfRule>
          <xm:sqref>A19:L48</xm:sqref>
        </x14:conditionalFormatting>
        <x14:conditionalFormatting xmlns:xm="http://schemas.microsoft.com/office/excel/2006/main">
          <x14:cfRule type="expression" priority="14" id="{F0B7F4B0-AA38-4012-A2E0-49A475966D4D}">
            <xm:f>OR(AND($B19=Ref!$A$7, $H$55&lt;0.00001),AND($B19=Ref!$A$8, $H$56&lt;0.00001))</xm:f>
            <x14:dxf>
              <font>
                <color rgb="FF99CCFF"/>
              </font>
              <fill>
                <patternFill>
                  <bgColor rgb="FF99CCFF"/>
                </patternFill>
              </fill>
            </x14:dxf>
          </x14:cfRule>
          <xm:sqref>C19:J48</xm:sqref>
        </x14:conditionalFormatting>
        <x14:conditionalFormatting xmlns:xm="http://schemas.microsoft.com/office/excel/2006/main">
          <x14:cfRule type="expression" priority="15" id="{EFC08DBE-8EF8-4DDE-9DD8-6172D90ED8F7}">
            <xm:f>AND($B19=Ref!$A$7, $H$55&gt;0.00001)</xm:f>
            <x14:dxf>
              <font>
                <b val="0"/>
                <i val="0"/>
                <color theme="1"/>
              </font>
            </x14:dxf>
          </x14:cfRule>
          <xm:sqref>F19:G48</xm:sqref>
        </x14:conditionalFormatting>
        <x14:conditionalFormatting xmlns:xm="http://schemas.microsoft.com/office/excel/2006/main">
          <x14:cfRule type="expression" priority="2" id="{03B7F450-944F-4236-9F2D-4296B49C1023}">
            <xm:f>AND(OR(AND($F19 &gt; 0.250001, $E19 &lt; 0.020833332), AND($F19 &gt; 0.375, $E19 &lt; 0.03124999)  ),OR(AND($B4&lt;&gt;Ref!$A$7, $B4&lt;&gt;Ref!$A$8),COUNT(SEARCH(Sonderarbeit,$N19))&gt;=1),ISNUMBER($C19))</xm:f>
            <x14:dxf>
              <fill>
                <patternFill>
                  <bgColor rgb="FFFF0000"/>
                </patternFill>
              </fill>
            </x14:dxf>
          </x14:cfRule>
          <xm:sqref>E19:E48</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49." xr:uid="{F1D44B0C-0151-44E6-BCEB-42BDAE42CF5A}">
          <x14:formula1>
            <xm:f>NOT(OFFSET(C19,0,2-COLUMN(C19))=Ref!$A$7)</xm:f>
          </x14:formula1>
          <xm:sqref>C19:E48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pageSetUpPr fitToPage="1"/>
  </sheetPr>
  <dimension ref="A1:N62"/>
  <sheetViews>
    <sheetView zoomScaleNormal="100" workbookViewId="0">
      <selection activeCell="A4" sqref="A4:E6"/>
    </sheetView>
  </sheetViews>
  <sheetFormatPr defaultColWidth="11.54296875" defaultRowHeight="13" x14ac:dyDescent="0.3"/>
  <cols>
    <col min="1" max="1" width="5.54296875" style="4" customWidth="1"/>
    <col min="2" max="2" width="9.08984375" style="5" customWidth="1"/>
    <col min="3" max="3" width="18.6328125" style="5" bestFit="1" customWidth="1"/>
    <col min="4" max="4" width="9.08984375" style="5" customWidth="1"/>
    <col min="5" max="5" width="8.54296875" style="2" customWidth="1"/>
    <col min="6" max="6" width="7.08984375" style="2" customWidth="1"/>
    <col min="7" max="7" width="3.1796875" style="2" customWidth="1"/>
    <col min="8" max="8" width="9.08984375" style="2" customWidth="1"/>
    <col min="9" max="9" width="9.90625" style="2" customWidth="1"/>
    <col min="10" max="10" width="10.36328125" style="2" customWidth="1"/>
    <col min="11" max="11" width="2.90625" style="2" customWidth="1"/>
    <col min="12" max="12" width="8.90625" style="2" customWidth="1"/>
    <col min="13" max="13" width="16.36328125" style="188" customWidth="1"/>
    <col min="14" max="14" width="18.1796875" style="189" customWidth="1"/>
    <col min="15" max="16384" width="11.54296875" style="2"/>
  </cols>
  <sheetData>
    <row r="1" spans="1:14" ht="15.5" x14ac:dyDescent="0.35">
      <c r="A1" s="289" t="s">
        <v>53</v>
      </c>
      <c r="B1" s="289"/>
      <c r="C1" s="289"/>
      <c r="D1" s="289"/>
      <c r="E1" s="289"/>
      <c r="F1" s="1"/>
      <c r="G1" s="277" t="s">
        <v>9</v>
      </c>
      <c r="H1" s="277"/>
      <c r="I1" s="277"/>
      <c r="J1" s="277"/>
    </row>
    <row r="2" spans="1:14" ht="15.5" x14ac:dyDescent="0.35">
      <c r="A2" s="289"/>
      <c r="B2" s="289"/>
      <c r="C2" s="289"/>
      <c r="D2" s="289"/>
      <c r="E2" s="289"/>
      <c r="F2" s="3"/>
      <c r="G2" s="277"/>
      <c r="H2" s="277"/>
      <c r="I2" s="277"/>
      <c r="J2" s="277"/>
    </row>
    <row r="3" spans="1:14" x14ac:dyDescent="0.3">
      <c r="A3" s="288" t="s">
        <v>11</v>
      </c>
      <c r="B3" s="288"/>
      <c r="C3" s="288"/>
      <c r="D3" s="288"/>
      <c r="E3" s="288"/>
      <c r="G3" s="277"/>
      <c r="H3" s="277"/>
      <c r="I3" s="277"/>
      <c r="J3" s="277"/>
    </row>
    <row r="4" spans="1:14" ht="13.25" customHeight="1" x14ac:dyDescent="0.3">
      <c r="A4" s="278" t="s">
        <v>5</v>
      </c>
      <c r="B4" s="278"/>
      <c r="C4" s="278"/>
      <c r="D4" s="278"/>
      <c r="E4" s="278"/>
      <c r="F4" s="6"/>
      <c r="G4" s="277"/>
      <c r="H4" s="277"/>
      <c r="I4" s="277"/>
      <c r="J4" s="277"/>
    </row>
    <row r="5" spans="1:14" ht="6" customHeight="1" x14ac:dyDescent="0.3">
      <c r="A5" s="278"/>
      <c r="B5" s="278"/>
      <c r="C5" s="278"/>
      <c r="D5" s="278"/>
      <c r="E5" s="278"/>
      <c r="F5" s="6"/>
      <c r="G5" s="277"/>
      <c r="H5" s="277"/>
      <c r="I5" s="277"/>
      <c r="J5" s="277"/>
    </row>
    <row r="6" spans="1:14" ht="13.25" customHeight="1" x14ac:dyDescent="0.3">
      <c r="A6" s="278"/>
      <c r="B6" s="278"/>
      <c r="C6" s="278"/>
      <c r="D6" s="278"/>
      <c r="E6" s="278"/>
      <c r="F6" s="6"/>
      <c r="G6" s="277"/>
      <c r="H6" s="277"/>
      <c r="I6" s="277"/>
      <c r="J6" s="277"/>
    </row>
    <row r="7" spans="1:14" ht="13.25" customHeight="1" x14ac:dyDescent="0.3">
      <c r="A7" s="6"/>
      <c r="B7" s="6"/>
      <c r="C7" s="6"/>
      <c r="D7" s="6"/>
      <c r="E7" s="6"/>
      <c r="F7" s="6"/>
      <c r="G7" s="277"/>
      <c r="H7" s="277"/>
      <c r="I7" s="277"/>
      <c r="J7" s="277"/>
    </row>
    <row r="8" spans="1:14" ht="6" customHeight="1" thickBot="1" x14ac:dyDescent="0.35">
      <c r="A8" s="7"/>
      <c r="B8" s="8"/>
      <c r="C8" s="8"/>
      <c r="D8" s="8"/>
      <c r="E8" s="9"/>
      <c r="F8" s="9"/>
      <c r="G8" s="9"/>
      <c r="H8" s="9"/>
      <c r="I8" s="10"/>
      <c r="J8" s="10"/>
      <c r="K8" s="11"/>
      <c r="L8" s="12"/>
    </row>
    <row r="9" spans="1:14" ht="6" customHeight="1" x14ac:dyDescent="0.3">
      <c r="A9" s="13"/>
      <c r="B9" s="14"/>
      <c r="C9" s="14"/>
      <c r="D9" s="14"/>
      <c r="E9" s="15"/>
      <c r="F9" s="15"/>
      <c r="G9" s="15"/>
      <c r="H9" s="15"/>
      <c r="I9" s="16"/>
      <c r="J9" s="16"/>
      <c r="K9" s="17"/>
      <c r="L9" s="18"/>
    </row>
    <row r="10" spans="1:14" x14ac:dyDescent="0.3">
      <c r="A10" s="119"/>
      <c r="B10" s="120"/>
      <c r="C10" s="120"/>
      <c r="D10" s="120"/>
      <c r="E10" s="121"/>
      <c r="F10" s="121"/>
      <c r="G10" s="121"/>
      <c r="H10" s="105"/>
      <c r="I10" s="122"/>
      <c r="J10" s="122"/>
      <c r="K10" s="123"/>
      <c r="L10" s="124"/>
    </row>
    <row r="11" spans="1:14" x14ac:dyDescent="0.3">
      <c r="A11" s="290" t="s">
        <v>6</v>
      </c>
      <c r="B11" s="290"/>
      <c r="C11" s="125" t="str">
        <f>Apr!C11</f>
        <v>ATHENE, Pallas</v>
      </c>
      <c r="D11" s="126"/>
      <c r="E11" s="127"/>
      <c r="F11" s="128"/>
      <c r="G11" s="128" t="s">
        <v>8</v>
      </c>
      <c r="H11" s="129"/>
      <c r="I11" s="130">
        <f>DATE(J11,5,1)</f>
        <v>45778</v>
      </c>
      <c r="J11" s="131">
        <f>Jan!J11</f>
        <v>2025</v>
      </c>
      <c r="K11" s="132"/>
      <c r="L11" s="133"/>
    </row>
    <row r="12" spans="1:14" x14ac:dyDescent="0.3">
      <c r="A12" s="134"/>
      <c r="B12" s="124"/>
      <c r="C12" s="135"/>
      <c r="D12" s="136"/>
      <c r="E12" s="128"/>
      <c r="F12" s="128"/>
      <c r="G12" s="121"/>
      <c r="H12" s="105"/>
      <c r="I12" s="122"/>
      <c r="J12" s="122"/>
      <c r="K12" s="123"/>
      <c r="L12" s="124"/>
    </row>
    <row r="13" spans="1:14" x14ac:dyDescent="0.3">
      <c r="A13" s="290" t="s">
        <v>7</v>
      </c>
      <c r="B13" s="290"/>
      <c r="C13" s="125" t="str">
        <f>Apr!C13</f>
        <v>Geschäftsstelle</v>
      </c>
      <c r="D13" s="139"/>
      <c r="E13" s="127"/>
      <c r="F13" s="140"/>
      <c r="G13" s="140"/>
      <c r="H13" s="129"/>
      <c r="I13" s="126"/>
      <c r="J13" s="127"/>
      <c r="K13" s="132"/>
      <c r="L13" s="133"/>
    </row>
    <row r="14" spans="1:14" ht="13.5" thickBot="1" x14ac:dyDescent="0.35">
      <c r="A14" s="134"/>
      <c r="B14" s="141"/>
      <c r="C14" s="141"/>
      <c r="D14" s="141"/>
      <c r="E14" s="105"/>
      <c r="F14" s="105"/>
      <c r="G14" s="105"/>
      <c r="H14" s="105"/>
      <c r="I14" s="105"/>
      <c r="J14" s="105"/>
      <c r="K14" s="123"/>
      <c r="L14" s="124"/>
    </row>
    <row r="15" spans="1:14" ht="13.25" customHeight="1" x14ac:dyDescent="0.25">
      <c r="A15" s="282"/>
      <c r="B15" s="282" t="s">
        <v>14</v>
      </c>
      <c r="C15" s="282" t="s">
        <v>130</v>
      </c>
      <c r="D15" s="282" t="s">
        <v>19</v>
      </c>
      <c r="E15" s="282" t="s">
        <v>16</v>
      </c>
      <c r="F15" s="283" t="s">
        <v>44</v>
      </c>
      <c r="G15" s="283"/>
      <c r="H15" s="279" t="s">
        <v>45</v>
      </c>
      <c r="I15" s="285" t="s">
        <v>0</v>
      </c>
      <c r="J15" s="285"/>
      <c r="K15" s="244" t="s">
        <v>43</v>
      </c>
      <c r="L15" s="245"/>
      <c r="M15" s="177"/>
      <c r="N15" s="178"/>
    </row>
    <row r="16" spans="1:14" thickBot="1" x14ac:dyDescent="0.3">
      <c r="A16" s="282"/>
      <c r="B16" s="282"/>
      <c r="C16" s="282"/>
      <c r="D16" s="282"/>
      <c r="E16" s="282"/>
      <c r="F16" s="283"/>
      <c r="G16" s="283"/>
      <c r="H16" s="280"/>
      <c r="I16" s="84" t="s">
        <v>1</v>
      </c>
      <c r="J16" s="84" t="s">
        <v>2</v>
      </c>
      <c r="K16" s="246"/>
      <c r="L16" s="247"/>
      <c r="M16" s="177"/>
      <c r="N16" s="179"/>
    </row>
    <row r="17" spans="1:14" thickBot="1" x14ac:dyDescent="0.3">
      <c r="A17" s="282"/>
      <c r="B17" s="282"/>
      <c r="C17" s="282"/>
      <c r="D17" s="282"/>
      <c r="E17" s="282"/>
      <c r="F17" s="283"/>
      <c r="G17" s="283"/>
      <c r="H17" s="280"/>
      <c r="I17" s="286">
        <f>IF(Mantelbogen!D26=I11,Mantelbogen!C28,Apr!I52)</f>
        <v>0.33333333333333393</v>
      </c>
      <c r="J17" s="287" t="str">
        <f>IF(Mantelbogen!D26=I11,Mantelbogen!D28,Apr!J52)</f>
        <v/>
      </c>
      <c r="K17" s="248" t="str">
        <f>IF(I17/H58 &gt; 1, I17/H58, " " )</f>
        <v xml:space="preserve"> </v>
      </c>
      <c r="L17" s="249"/>
      <c r="M17" s="177"/>
      <c r="N17" s="180"/>
    </row>
    <row r="18" spans="1:14" thickBot="1" x14ac:dyDescent="0.3">
      <c r="A18" s="282"/>
      <c r="B18" s="282"/>
      <c r="C18" s="282"/>
      <c r="D18" s="282"/>
      <c r="E18" s="282"/>
      <c r="F18" s="283"/>
      <c r="G18" s="283"/>
      <c r="H18" s="281"/>
      <c r="I18" s="286"/>
      <c r="J18" s="287"/>
      <c r="K18" s="250"/>
      <c r="L18" s="251"/>
      <c r="M18" s="177"/>
      <c r="N18" s="180"/>
    </row>
    <row r="19" spans="1:14" ht="17.399999999999999" customHeight="1" x14ac:dyDescent="0.55000000000000004">
      <c r="A19" s="86">
        <v>1</v>
      </c>
      <c r="B19" s="85" t="str">
        <f>TEXT(DATE(J$11,MONTH(I$11),A19),Textcode)</f>
        <v>Donnerstag</v>
      </c>
      <c r="C19" s="87" t="s">
        <v>96</v>
      </c>
      <c r="D19" s="213">
        <f t="array" ref="D19">IF(AND(COUNT(SEARCH(Sonderarbeit,$N19,1))&gt;=1,$B19=Ref!$A$7),Ref!$K$1,Ref!$K$2)</f>
        <v>0.70833333333333337</v>
      </c>
      <c r="E19" s="213">
        <f t="array" ref="E19">IF(AND(COUNT(SEARCH(Sonderarbeit,$N19))&gt;=1,$B19=Ref!$A$7),,Ref!$K$3)</f>
        <v>2.0833333333333332E-2</v>
      </c>
      <c r="F19" s="270">
        <f>IF(ISTEXT(C19),,D19-C19-E19)</f>
        <v>0</v>
      </c>
      <c r="G19" s="271"/>
      <c r="H19" s="88">
        <f t="shared" ref="H19:H23" si="0">IF(AND(ISTEXT(C19),ISERR(SEARCH("ausgleich",C19,1))),,INDEX(H$51:H$58,WEEKDAY(DATE(J$11,MONTH(I$11),A19),2),1,1))</f>
        <v>0</v>
      </c>
      <c r="I19" s="89" t="str">
        <f>IF(AND(F19&gt;H19,OR(AND(OR($B19&lt;&gt;Ref!$A$7,$H$56&gt;0),OR($B19&lt;&gt;Ref!$A$8,$H$57&gt;0)),COUNT(SEARCH(Sonderarbeit,$N19))&gt;=1),ISNONTEXT(C19),C19&lt;&gt;""),F19-H19,"")</f>
        <v/>
      </c>
      <c r="J19" s="90" t="str">
        <f>IF(OR(AND(F19&lt;H19,OR(AND(OR($B19&lt;&gt;Ref!$A$7,$H$56&gt;0),OR($B19&lt;&gt;Ref!$A$8,$H$57&gt;0)),COUNT(SEARCH(Sonderarbeit,$N19))&gt;=1)),C19="Ausgleich"),H19-F19,"")</f>
        <v/>
      </c>
      <c r="K19" s="170" t="str">
        <f>IF(AND(B19=Ref!$A$8,SUM(I19:I19)&lt;SUM(J19:J19)),"-","")</f>
        <v/>
      </c>
      <c r="L19" s="171" t="str">
        <f>IF(B19=Ref!$A$8,ABS(SUM(I19:I19)-SUM(J19:J19)),"")</f>
        <v/>
      </c>
      <c r="M19" s="181"/>
      <c r="N19" s="181"/>
    </row>
    <row r="20" spans="1:14" ht="17.399999999999999" customHeight="1" x14ac:dyDescent="0.55000000000000004">
      <c r="A20" s="86">
        <v>2</v>
      </c>
      <c r="B20" s="85" t="str">
        <f t="shared" ref="B20:B49" si="1">TEXT(DATE(J$11,MONTH(I$11),A20),Textcode)</f>
        <v>Freitag</v>
      </c>
      <c r="C20" s="87">
        <v>0.35416666666666669</v>
      </c>
      <c r="D20" s="213">
        <f t="array" ref="D20">IF(AND(COUNT(SEARCH(Sonderarbeit,$N20,1))&gt;=1,$B20=Ref!$A$7),Ref!$K$1,Ref!$K$2)</f>
        <v>0.70833333333333337</v>
      </c>
      <c r="E20" s="213">
        <f t="array" ref="E20">IF(AND(COUNT(SEARCH(Sonderarbeit,$N20))&gt;=1,$B20=Ref!$A$7),,Ref!$K$3)</f>
        <v>2.0833333333333332E-2</v>
      </c>
      <c r="F20" s="270">
        <f>IF(ISTEXT(C20),,D20-C20-E20)</f>
        <v>0.33333333333333337</v>
      </c>
      <c r="G20" s="271"/>
      <c r="H20" s="88">
        <f t="shared" si="0"/>
        <v>0.3125</v>
      </c>
      <c r="I20" s="89">
        <f>IF(AND(F20&gt;H20,OR(AND(OR($B20&lt;&gt;Ref!$A$7,$H$56&gt;0),OR($B20&lt;&gt;Ref!$A$8,$H$57&gt;0)),COUNT(SEARCH(Sonderarbeit,$N20))&gt;=1),ISNONTEXT(C20),C20&lt;&gt;""),F20-H20,"")</f>
        <v>2.083333333333337E-2</v>
      </c>
      <c r="J20" s="90" t="str">
        <f>IF(OR(AND(F20&lt;H20,OR(AND(OR($B20&lt;&gt;Ref!$A$7,$H$56&gt;0),OR($B20&lt;&gt;Ref!$A$8,$H$57&gt;0)),COUNT(SEARCH(Sonderarbeit,$N20))&gt;=1)),C20="Ausgleich"),H20-F20,"")</f>
        <v/>
      </c>
      <c r="K20" s="91" t="str">
        <f>IF(AND(B20=Ref!$A$8,SUM(I19:I20)&lt;SUM(J19:J20)),"-","")</f>
        <v/>
      </c>
      <c r="L20" s="92" t="str">
        <f>IF(B20=Ref!$A$8,ABS(SUM(I19:I20)-SUM(J19:J20)),"")</f>
        <v/>
      </c>
      <c r="M20" s="177"/>
      <c r="N20" s="181"/>
    </row>
    <row r="21" spans="1:14" ht="17.399999999999999" customHeight="1" x14ac:dyDescent="0.55000000000000004">
      <c r="A21" s="93">
        <v>3</v>
      </c>
      <c r="B21" s="85" t="str">
        <f t="shared" si="1"/>
        <v>Samstag</v>
      </c>
      <c r="C21" s="87">
        <v>0.35416666666666669</v>
      </c>
      <c r="D21" s="213">
        <f t="array" ref="D21">IF(AND(COUNT(SEARCH(Sonderarbeit,$N21,1))&gt;=1,$B21=Ref!$A$7),Ref!$K$1,Ref!$K$2)</f>
        <v>0.70833333333333337</v>
      </c>
      <c r="E21" s="213">
        <f t="array" ref="E21">IF(AND(COUNT(SEARCH(Sonderarbeit,$N21))&gt;=1,$B21=Ref!$A$7),,Ref!$K$3)</f>
        <v>2.0833333333333332E-2</v>
      </c>
      <c r="F21" s="270">
        <f t="shared" ref="F21:F49" si="2">IF(ISTEXT(C21),,D21-C21-E21)</f>
        <v>0.33333333333333337</v>
      </c>
      <c r="G21" s="271"/>
      <c r="H21" s="88">
        <f t="shared" si="0"/>
        <v>0</v>
      </c>
      <c r="I21" s="89" t="str">
        <f>IF(AND(F21&gt;H21,OR(AND(OR($B21&lt;&gt;Ref!$A$7,$H$56&gt;0),OR($B21&lt;&gt;Ref!$A$8,$H$57&gt;0)),COUNT(SEARCH(Sonderarbeit,$N21))&gt;=1),ISNONTEXT(C21),C21&lt;&gt;""),F21-H21,"")</f>
        <v/>
      </c>
      <c r="J21" s="90" t="str">
        <f>IF(OR(AND(F21&lt;H21,OR(AND(OR($B21&lt;&gt;Ref!$A$7,$H$56&gt;0),OR($B21&lt;&gt;Ref!$A$8,$H$57&gt;0)),COUNT(SEARCH(Sonderarbeit,$N21))&gt;=1)),C21="Ausgleich"),H21-F21,"")</f>
        <v/>
      </c>
      <c r="K21" s="91" t="str">
        <f>IF(AND(B21=Ref!$A$8,SUM(I19:I21)&lt;SUM(J19:J21)),"-","")</f>
        <v/>
      </c>
      <c r="L21" s="92" t="str">
        <f>IF(B21=Ref!$A$8,ABS(SUM(I19:I21)-SUM(J19:J21)),"")</f>
        <v/>
      </c>
      <c r="M21" s="177"/>
      <c r="N21" s="181"/>
    </row>
    <row r="22" spans="1:14" ht="17.399999999999999" customHeight="1" x14ac:dyDescent="0.55000000000000004">
      <c r="A22" s="94">
        <v>4</v>
      </c>
      <c r="B22" s="85" t="str">
        <f t="shared" si="1"/>
        <v>Sonntag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v>
      </c>
      <c r="I22" s="89" t="str">
        <f>IF(AND(F22&gt;H22,OR(AND(OR($B22&lt;&gt;Ref!$A$7,$H$56&gt;0),OR($B22&lt;&gt;Ref!$A$8,$H$57&gt;0)),COUNT(SEARCH(Sonderarbeit,$N22))&gt;=1),ISNONTEXT(C22),C22&lt;&gt;""),F22-H22,"")</f>
        <v/>
      </c>
      <c r="J22" s="90" t="str">
        <f>IF(OR(AND(F22&lt;H22,OR(AND(OR($B22&lt;&gt;Ref!$A$7,$H$56&gt;0),OR($B22&lt;&gt;Ref!$A$8,$H$57&gt;0)),COUNT(SEARCH(Sonderarbeit,$N22))&gt;=1)),C22="Ausgleich"),H22-F22,"")</f>
        <v/>
      </c>
      <c r="K22" s="91" t="str">
        <f>IF(AND(B22=Ref!$A$8,SUM(I19:I22)&lt;SUM(J19:J22)),"-","")</f>
        <v/>
      </c>
      <c r="L22" s="92">
        <f>IF(B22=Ref!$A$8,ABS(SUM(I19:I22)-SUM(J19:J22)),"")</f>
        <v>2.083333333333337E-2</v>
      </c>
      <c r="M22" s="177"/>
      <c r="N22" s="178"/>
    </row>
    <row r="23" spans="1:14" ht="17.399999999999999" customHeight="1" x14ac:dyDescent="0.55000000000000004">
      <c r="A23" s="94">
        <v>5</v>
      </c>
      <c r="B23" s="85" t="str">
        <f t="shared" si="1"/>
        <v>Montag</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0.33333333333333331</v>
      </c>
      <c r="I23" s="89" t="str">
        <f>IF(AND(F23&gt;H23,OR(AND(OR($B23&lt;&gt;Ref!$A$7,$H$56&gt;0),OR($B23&lt;&gt;Ref!$A$8,$H$57&gt;0)),COUNT(SEARCH(Sonderarbeit,$N23))&gt;=1),ISNONTEXT(C23),C23&lt;&gt;""),F23-H23,"")</f>
        <v/>
      </c>
      <c r="J23" s="90" t="str">
        <f>IF(OR(AND(F23&lt;H23,OR(AND(OR($B23&lt;&gt;Ref!$A$7,$H$56&gt;0),OR($B23&lt;&gt;Ref!$A$8,$H$57&gt;0)),COUNT(SEARCH(Sonderarbeit,$N23))&gt;=1)),C23="Ausgleich"),H23-F23,"")</f>
        <v/>
      </c>
      <c r="K23" s="91" t="str">
        <f>IF(AND(B23=Ref!$A$8,SUM(I19:I23)&lt;SUM(J19:J23)),"-","")</f>
        <v/>
      </c>
      <c r="L23" s="92" t="str">
        <f>IF(B23=Ref!$A$8,ABS(SUM(I19:I23)-SUM(J19:J23)),"")</f>
        <v/>
      </c>
      <c r="M23" s="177"/>
      <c r="N23" s="181"/>
    </row>
    <row r="24" spans="1:14" ht="17.399999999999999" customHeight="1" x14ac:dyDescent="0.55000000000000004">
      <c r="A24" s="86">
        <v>6</v>
      </c>
      <c r="B24" s="85" t="str">
        <f t="shared" si="1"/>
        <v>Dienstag</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IF(AND(ISTEXT(C24),ISERR(SEARCH("ausgleich",C24,1))),,INDEX(H$51:H$58,WEEKDAY(DATE(J$11,MONTH(I$11),A24),2),1,1))</f>
        <v>0.33333333333333331</v>
      </c>
      <c r="I24" s="89" t="str">
        <f>IF(AND(F24&gt;H24,OR(AND(OR($B24&lt;&gt;Ref!$A$7,$H$56&gt;0),OR($B24&lt;&gt;Ref!$A$8,$H$57&gt;0)),COUNT(SEARCH(Sonderarbeit,$N24))&gt;=1),ISNONTEXT(C24),C24&lt;&gt;""),F24-H24,"")</f>
        <v/>
      </c>
      <c r="J24" s="90" t="str">
        <f>IF(OR(AND(F24&lt;H24,OR(AND(OR($B24&lt;&gt;Ref!$A$7,$H$56&gt;0),OR($B24&lt;&gt;Ref!$A$8,$H$57&gt;0)),COUNT(SEARCH(Sonderarbeit,$N24))&gt;=1)),C24="Ausgleich"),H24-F24,"")</f>
        <v/>
      </c>
      <c r="K24" s="91" t="str">
        <f>IF(AND(B24=Ref!$A$8,SUM(I19:I24)&lt;SUM(J19:J24)),"-","")</f>
        <v/>
      </c>
      <c r="L24" s="92" t="str">
        <f>IF(B24=Ref!$A$8,ABS(SUM(I19:I24)-SUM(J19:J24)),"")</f>
        <v/>
      </c>
      <c r="M24" s="177"/>
      <c r="N24" s="181"/>
    </row>
    <row r="25" spans="1:14" ht="17.399999999999999" customHeight="1" x14ac:dyDescent="0.55000000000000004">
      <c r="A25" s="94">
        <v>7</v>
      </c>
      <c r="B25" s="85" t="str">
        <f t="shared" si="1"/>
        <v>Mittwoch</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ref="H25:H49" si="3">IF(AND(ISTEXT(C25),ISERR(SEARCH("ausgleich",C25,1))),,INDEX(H$51:H$58,WEEKDAY(DATE(J$11,MONTH(I$11),A25),2),1,1))</f>
        <v>0.33333333333333331</v>
      </c>
      <c r="I25" s="89" t="str">
        <f>IF(AND(F25&gt;H25,OR(AND(OR($B25&lt;&gt;Ref!$A$7,$H$56&gt;0),OR($B25&lt;&gt;Ref!$A$8,$H$57&gt;0)),COUNT(SEARCH(Sonderarbeit,$N25))&gt;=1),ISNONTEXT(C25),C25&lt;&gt;""),F25-H25,"")</f>
        <v/>
      </c>
      <c r="J25" s="90" t="str">
        <f>IF(OR(AND(F25&lt;H25,OR(AND(OR($B25&lt;&gt;Ref!$A$7,$H$56&gt;0),OR($B25&lt;&gt;Ref!$A$8,$H$57&gt;0)),COUNT(SEARCH(Sonderarbeit,$N25))&gt;=1)),C25="Ausgleich"),H25-F25,"")</f>
        <v/>
      </c>
      <c r="K25" s="91" t="str">
        <f>IF(AND(B25=Ref!$A$8,SUM(I19:I25)&lt;SUM(J19:J25)),"-","")</f>
        <v/>
      </c>
      <c r="L25" s="92" t="str">
        <f>IF(B25=Ref!$A$8,ABS(SUM(I19:I25)-SUM(J19:J25)),"")</f>
        <v/>
      </c>
      <c r="M25" s="177"/>
      <c r="N25" s="181"/>
    </row>
    <row r="26" spans="1:14" ht="17.399999999999999" customHeight="1" x14ac:dyDescent="0.55000000000000004">
      <c r="A26" s="94">
        <v>8</v>
      </c>
      <c r="B26" s="85" t="str">
        <f t="shared" si="1"/>
        <v>Donnerstag</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3"/>
        <v>0.33333333333333331</v>
      </c>
      <c r="I26" s="89" t="str">
        <f>IF(AND(F26&gt;H26,OR(AND(OR($B26&lt;&gt;Ref!$A$7,$H$56&gt;0),OR($B26&lt;&gt;Ref!$A$8,$H$57&gt;0)),COUNT(SEARCH(Sonderarbeit,$N26))&gt;=1),ISNONTEXT(C26),C26&lt;&gt;""),F26-H26,"")</f>
        <v/>
      </c>
      <c r="J26" s="90" t="str">
        <f>IF(OR(AND(F26&lt;H26,OR(AND(OR($B26&lt;&gt;Ref!$A$7,$H$56&gt;0),OR($B26&lt;&gt;Ref!$A$8,$H$57&gt;0)),COUNT(SEARCH(Sonderarbeit,$N26))&gt;=1)),C26="Ausgleich"),H26-F26,"")</f>
        <v/>
      </c>
      <c r="K26" s="91" t="str">
        <f>IF(AND(B26=Ref!$A$8,SUM(I20:I26)&lt;SUM(J20:J26)),"-","")</f>
        <v/>
      </c>
      <c r="L26" s="92" t="str">
        <f>IF(B26=Ref!$A$8,ABS(SUM(I20:I26)-SUM(J20:J26)),"")</f>
        <v/>
      </c>
      <c r="M26" s="177"/>
      <c r="N26" s="181"/>
    </row>
    <row r="27" spans="1:14" ht="17.399999999999999" customHeight="1" x14ac:dyDescent="0.55000000000000004">
      <c r="A27" s="86">
        <v>9</v>
      </c>
      <c r="B27" s="85" t="str">
        <f t="shared" si="1"/>
        <v>Freitag</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3"/>
        <v>0.3125</v>
      </c>
      <c r="I27" s="89">
        <f>IF(AND(F27&gt;H27,OR(AND(OR($B27&lt;&gt;Ref!$A$7,$H$56&gt;0),OR($B27&lt;&gt;Ref!$A$8,$H$57&gt;0)),COUNT(SEARCH(Sonderarbeit,$N27))&gt;=1),ISNONTEXT(C27),C27&lt;&gt;""),F27-H27,"")</f>
        <v>2.083333333333337E-2</v>
      </c>
      <c r="J27" s="90" t="str">
        <f>IF(OR(AND(F27&lt;H27,OR(AND(OR($B27&lt;&gt;Ref!$A$7,$H$56&gt;0),OR($B27&lt;&gt;Ref!$A$8,$H$57&gt;0)),COUNT(SEARCH(Sonderarbeit,$N27))&gt;=1)),C27="Ausgleich"),H27-F27,"")</f>
        <v/>
      </c>
      <c r="K27" s="91" t="str">
        <f>IF(AND(B27=Ref!$A$8,SUM(I21:I27)&lt;SUM(J21:J27)),"-","")</f>
        <v/>
      </c>
      <c r="L27" s="92" t="str">
        <f>IF(B27=Ref!$A$8,ABS(SUM(I21:I27)-SUM(J21:J27)),"")</f>
        <v/>
      </c>
      <c r="M27" s="177"/>
      <c r="N27" s="181" t="s">
        <v>81</v>
      </c>
    </row>
    <row r="28" spans="1:14" ht="17.399999999999999" customHeight="1" x14ac:dyDescent="0.55000000000000004">
      <c r="A28" s="86">
        <v>10</v>
      </c>
      <c r="B28" s="85" t="str">
        <f t="shared" si="1"/>
        <v>Samstag</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3"/>
        <v>0</v>
      </c>
      <c r="I28" s="89" t="str">
        <f>IF(AND(F28&gt;H28,OR(AND(OR($B28&lt;&gt;Ref!$A$7,$H$56&gt;0),OR($B28&lt;&gt;Ref!$A$8,$H$57&gt;0)),COUNT(SEARCH(Sonderarbeit,$N28))&gt;=1),ISNONTEXT(C28),C28&lt;&gt;""),F28-H28,"")</f>
        <v/>
      </c>
      <c r="J28" s="90" t="str">
        <f>IF(OR(AND(F28&lt;H28,OR(AND(OR($B28&lt;&gt;Ref!$A$7,$H$56&gt;0),OR($B28&lt;&gt;Ref!$A$8,$H$57&gt;0)),COUNT(SEARCH(Sonderarbeit,$N28))&gt;=1)),C28="Ausgleich"),H28-F28,"")</f>
        <v/>
      </c>
      <c r="K28" s="91" t="str">
        <f>IF(AND(B28=Ref!$A$8,SUM(I22:I28)&lt;SUM(J22:J28)),"-","")</f>
        <v/>
      </c>
      <c r="L28" s="92" t="str">
        <f>IF(B28=Ref!$A$8,ABS(SUM(I22:I28)-SUM(J22:J28)),"")</f>
        <v/>
      </c>
      <c r="M28" s="177"/>
      <c r="N28" s="181"/>
    </row>
    <row r="29" spans="1:14" ht="17.399999999999999" customHeight="1" x14ac:dyDescent="0.55000000000000004">
      <c r="A29" s="94">
        <v>11</v>
      </c>
      <c r="B29" s="85" t="str">
        <f t="shared" si="1"/>
        <v>Sonntag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3"/>
        <v>0</v>
      </c>
      <c r="I29" s="89" t="str">
        <f>IF(AND(F29&gt;H29,OR(AND(OR($B29&lt;&gt;Ref!$A$7,$H$56&gt;0),OR($B29&lt;&gt;Ref!$A$8,$H$57&gt;0)),COUNT(SEARCH(Sonderarbeit,$N29))&gt;=1),ISNONTEXT(C29),C29&lt;&gt;""),F29-H29,"")</f>
        <v/>
      </c>
      <c r="J29" s="90" t="str">
        <f>IF(OR(AND(F29&lt;H29,OR(AND(OR($B29&lt;&gt;Ref!$A$7,$H$56&gt;0),OR($B29&lt;&gt;Ref!$A$8,$H$57&gt;0)),COUNT(SEARCH(Sonderarbeit,$N29))&gt;=1)),C29="Ausgleich"),H29-F29,"")</f>
        <v/>
      </c>
      <c r="K29" s="91" t="str">
        <f>IF(AND(B29=Ref!$A$8,SUM(I23:I29)&lt;SUM(J23:J29)),"-","")</f>
        <v/>
      </c>
      <c r="L29" s="92">
        <f>IF(B29=Ref!$A$8,ABS(SUM(I23:I29)-SUM(J23:J29)),"")</f>
        <v>2.083333333333337E-2</v>
      </c>
      <c r="M29" s="177"/>
      <c r="N29" s="181"/>
    </row>
    <row r="30" spans="1:14" ht="17.399999999999999" customHeight="1" x14ac:dyDescent="0.55000000000000004">
      <c r="A30" s="94">
        <v>12</v>
      </c>
      <c r="B30" s="85" t="str">
        <f t="shared" si="1"/>
        <v>Montag</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3"/>
        <v>0.33333333333333331</v>
      </c>
      <c r="I30" s="89" t="str">
        <f>IF(AND(F30&gt;H30,OR(AND(OR($B30&lt;&gt;Ref!$A$7,$H$56&gt;0),OR($B30&lt;&gt;Ref!$A$8,$H$57&gt;0)),COUNT(SEARCH(Sonderarbeit,$N30))&gt;=1),ISNONTEXT(C30),C30&lt;&gt;""),F30-H30,"")</f>
        <v/>
      </c>
      <c r="J30" s="90" t="str">
        <f>IF(OR(AND(F30&lt;H30,OR(AND(OR($B30&lt;&gt;Ref!$A$7,$H$56&gt;0),OR($B30&lt;&gt;Ref!$A$8,$H$57&gt;0)),COUNT(SEARCH(Sonderarbeit,$N30))&gt;=1)),C30="Ausgleich"),H30-F30,"")</f>
        <v/>
      </c>
      <c r="K30" s="91" t="str">
        <f>IF(AND(B30=Ref!$A$8,SUM(I24:I30)&lt;SUM(J24:J30)),"-","")</f>
        <v/>
      </c>
      <c r="L30" s="92" t="str">
        <f>IF(B30=Ref!$A$8,ABS(SUM(I24:I30)-SUM(J24:J30)),"")</f>
        <v/>
      </c>
      <c r="M30" s="177"/>
      <c r="N30" s="181"/>
    </row>
    <row r="31" spans="1:14" ht="17.399999999999999" customHeight="1" x14ac:dyDescent="0.55000000000000004">
      <c r="A31" s="94">
        <v>13</v>
      </c>
      <c r="B31" s="85" t="str">
        <f t="shared" si="1"/>
        <v>Dienstag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3"/>
        <v>0.33333333333333331</v>
      </c>
      <c r="I31" s="89" t="str">
        <f>IF(AND(F31&gt;H31,OR(AND(OR($B31&lt;&gt;Ref!$A$7,$H$56&gt;0),OR($B31&lt;&gt;Ref!$A$8,$H$57&gt;0)),COUNT(SEARCH(Sonderarbeit,$N31))&gt;=1),ISNONTEXT(C31),C31&lt;&gt;""),F31-H31,"")</f>
        <v/>
      </c>
      <c r="J31" s="90" t="str">
        <f>IF(OR(AND(F31&lt;H31,OR(AND(OR($B31&lt;&gt;Ref!$A$7,$H$56&gt;0),OR($B31&lt;&gt;Ref!$A$8,$H$57&gt;0)),COUNT(SEARCH(Sonderarbeit,$N31))&gt;=1)),C31="Ausgleich"),H31-F31,"")</f>
        <v/>
      </c>
      <c r="K31" s="91" t="str">
        <f>IF(AND(B31=Ref!$A$8,SUM(I25:I31)&lt;SUM(J25:J31)),"-","")</f>
        <v/>
      </c>
      <c r="L31" s="92" t="str">
        <f>IF(B31=Ref!$A$8,ABS(SUM(I25:I31)-SUM(J25:J31)),"")</f>
        <v/>
      </c>
      <c r="M31" s="177"/>
      <c r="N31" s="181"/>
    </row>
    <row r="32" spans="1:14" ht="17.399999999999999" customHeight="1" x14ac:dyDescent="0.55000000000000004">
      <c r="A32" s="94">
        <v>14</v>
      </c>
      <c r="B32" s="85" t="str">
        <f t="shared" si="1"/>
        <v>Mittwoch</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3"/>
        <v>0.33333333333333331</v>
      </c>
      <c r="I32" s="89" t="str">
        <f>IF(AND(F32&gt;H32,OR(AND(OR($B32&lt;&gt;Ref!$A$7,$H$56&gt;0),OR($B32&lt;&gt;Ref!$A$8,$H$57&gt;0)),COUNT(SEARCH(Sonderarbeit,$N32))&gt;=1),ISNONTEXT(C32),C32&lt;&gt;""),F32-H32,"")</f>
        <v/>
      </c>
      <c r="J32" s="90" t="str">
        <f>IF(OR(AND(F32&lt;H32,OR(AND(OR($B32&lt;&gt;Ref!$A$7,$H$56&gt;0),OR($B32&lt;&gt;Ref!$A$8,$H$57&gt;0)),COUNT(SEARCH(Sonderarbeit,$N32))&gt;=1)),C32="Ausgleich"),H32-F32,"")</f>
        <v/>
      </c>
      <c r="K32" s="91" t="str">
        <f>IF(AND(B32=Ref!$A$8,SUM(I26:I32)&lt;SUM(J26:J32)),"-","")</f>
        <v/>
      </c>
      <c r="L32" s="92" t="str">
        <f>IF(B32=Ref!$A$8,ABS(SUM(I26:I32)-SUM(J26:J32)),"")</f>
        <v/>
      </c>
      <c r="M32" s="177"/>
      <c r="N32" s="181"/>
    </row>
    <row r="33" spans="1:14" ht="17.399999999999999" customHeight="1" x14ac:dyDescent="0.55000000000000004">
      <c r="A33" s="86">
        <v>15</v>
      </c>
      <c r="B33" s="85" t="str">
        <f t="shared" si="1"/>
        <v>Donnerstag</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3"/>
        <v>0.33333333333333331</v>
      </c>
      <c r="I33" s="89" t="str">
        <f>IF(AND(F33&gt;H33,OR(AND(OR($B33&lt;&gt;Ref!$A$7,$H$56&gt;0),OR($B33&lt;&gt;Ref!$A$8,$H$57&gt;0)),COUNT(SEARCH(Sonderarbeit,$N33))&gt;=1),ISNONTEXT(C33),C33&lt;&gt;""),F33-H33,"")</f>
        <v/>
      </c>
      <c r="J33" s="90" t="str">
        <f>IF(OR(AND(F33&lt;H33,OR(AND(OR($B33&lt;&gt;Ref!$A$7,$H$56&gt;0),OR($B33&lt;&gt;Ref!$A$8,$H$57&gt;0)),COUNT(SEARCH(Sonderarbeit,$N33))&gt;=1)),C33="Ausgleich"),H33-F33,"")</f>
        <v/>
      </c>
      <c r="K33" s="91" t="str">
        <f>IF(AND(B33=Ref!$A$8,SUM(I27:I33)&lt;SUM(J27:J33)),"-","")</f>
        <v/>
      </c>
      <c r="L33" s="92" t="str">
        <f>IF(B33=Ref!$A$8,ABS(SUM(I27:I33)-SUM(J27:J33)),"")</f>
        <v/>
      </c>
      <c r="M33" s="177"/>
      <c r="N33" s="181"/>
    </row>
    <row r="34" spans="1:14" ht="17.399999999999999" customHeight="1" x14ac:dyDescent="0.55000000000000004">
      <c r="A34" s="86">
        <v>16</v>
      </c>
      <c r="B34" s="85" t="str">
        <f t="shared" si="1"/>
        <v>Freitag</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3"/>
        <v>0.3125</v>
      </c>
      <c r="I34" s="89">
        <f>IF(AND(F34&gt;H34,OR(AND(OR($B34&lt;&gt;Ref!$A$7,$H$56&gt;0),OR($B34&lt;&gt;Ref!$A$8,$H$57&gt;0)),COUNT(SEARCH(Sonderarbeit,$N34))&gt;=1),ISNONTEXT(C34),C34&lt;&gt;""),F34-H34,"")</f>
        <v>2.083333333333337E-2</v>
      </c>
      <c r="J34" s="90" t="str">
        <f>IF(OR(AND(F34&lt;H34,OR(AND(OR($B34&lt;&gt;Ref!$A$7,$H$56&gt;0),OR($B34&lt;&gt;Ref!$A$8,$H$57&gt;0)),COUNT(SEARCH(Sonderarbeit,$N34))&gt;=1)),C34="Ausgleich"),H34-F34,"")</f>
        <v/>
      </c>
      <c r="K34" s="91" t="str">
        <f>IF(AND(B34=Ref!$A$8,SUM(I28:I34)&lt;SUM(J28:J34)),"-","")</f>
        <v/>
      </c>
      <c r="L34" s="92" t="str">
        <f>IF(B34=Ref!$A$8,ABS(SUM(I28:I34)-SUM(J28:J34)),"")</f>
        <v/>
      </c>
      <c r="M34" s="177"/>
      <c r="N34" s="181"/>
    </row>
    <row r="35" spans="1:14" ht="17.399999999999999" customHeight="1" x14ac:dyDescent="0.55000000000000004">
      <c r="A35" s="86">
        <v>17</v>
      </c>
      <c r="B35" s="85" t="str">
        <f t="shared" si="1"/>
        <v>Samstag</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3"/>
        <v>0</v>
      </c>
      <c r="I35" s="89" t="str">
        <f>IF(AND(F35&gt;H35,OR(AND(OR($B35&lt;&gt;Ref!$A$7,$H$56&gt;0),OR($B35&lt;&gt;Ref!$A$8,$H$57&gt;0)),COUNT(SEARCH(Sonderarbeit,$N35))&gt;=1),ISNONTEXT(C35),C35&lt;&gt;""),F35-H35,"")</f>
        <v/>
      </c>
      <c r="J35" s="90" t="str">
        <f>IF(OR(AND(F35&lt;H35,OR(AND(OR($B35&lt;&gt;Ref!$A$7,$H$56&gt;0),OR($B35&lt;&gt;Ref!$A$8,$H$57&gt;0)),COUNT(SEARCH(Sonderarbeit,$N35))&gt;=1)),C35="Ausgleich"),H35-F35,"")</f>
        <v/>
      </c>
      <c r="K35" s="91" t="str">
        <f>IF(AND(B35=Ref!$A$8,SUM(I29:I35)&lt;SUM(J29:J35)),"-","")</f>
        <v/>
      </c>
      <c r="L35" s="92" t="str">
        <f>IF(B35=Ref!$A$8,ABS(SUM(I29:I35)-SUM(J29:J35)),"")</f>
        <v/>
      </c>
      <c r="M35" s="177"/>
      <c r="N35" s="181"/>
    </row>
    <row r="36" spans="1:14" ht="17.399999999999999" customHeight="1" x14ac:dyDescent="0.55000000000000004">
      <c r="A36" s="86">
        <v>18</v>
      </c>
      <c r="B36" s="85" t="str">
        <f t="shared" si="1"/>
        <v>Sonntag</v>
      </c>
      <c r="C36" s="87">
        <v>0.35416666666666669</v>
      </c>
      <c r="D36" s="213">
        <f t="array" ref="D36">IF(AND(COUNT(SEARCH(Sonderarbeit,$N36,1))&gt;=1,$B36=Ref!$A$7),Ref!$K$1,Ref!$K$2)</f>
        <v>0.70833333333333337</v>
      </c>
      <c r="E36" s="213">
        <f t="array" ref="E36">IF(AND(COUNT(SEARCH(Sonderarbeit,$N36))&gt;=1,$B36=Ref!$A$7),,Ref!$K$3)</f>
        <v>2.0833333333333332E-2</v>
      </c>
      <c r="F36" s="270">
        <f t="shared" si="2"/>
        <v>0.33333333333333337</v>
      </c>
      <c r="G36" s="271"/>
      <c r="H36" s="88">
        <f t="shared" si="3"/>
        <v>0</v>
      </c>
      <c r="I36" s="89" t="str">
        <f>IF(AND(F36&gt;H36,OR(AND(OR($B36&lt;&gt;Ref!$A$7,$H$56&gt;0),OR($B36&lt;&gt;Ref!$A$8,$H$57&gt;0)),COUNT(SEARCH(Sonderarbeit,$N36))&gt;=1),ISNONTEXT(C36),C36&lt;&gt;""),F36-H36,"")</f>
        <v/>
      </c>
      <c r="J36" s="90" t="str">
        <f>IF(OR(AND(F36&lt;H36,OR(AND(OR($B36&lt;&gt;Ref!$A$7,$H$56&gt;0),OR($B36&lt;&gt;Ref!$A$8,$H$57&gt;0)),COUNT(SEARCH(Sonderarbeit,$N36))&gt;=1)),C36="Ausgleich"),H36-F36,"")</f>
        <v/>
      </c>
      <c r="K36" s="91" t="str">
        <f>IF(AND(B36=Ref!$A$8,SUM(I30:I36)&lt;SUM(J30:J36)),"-","")</f>
        <v/>
      </c>
      <c r="L36" s="92">
        <f>IF(B36=Ref!$A$8,ABS(SUM(I30:I36)-SUM(J30:J36)),"")</f>
        <v>2.083333333333337E-2</v>
      </c>
      <c r="M36" s="177"/>
      <c r="N36" s="181"/>
    </row>
    <row r="37" spans="1:14" ht="17.399999999999999" customHeight="1" x14ac:dyDescent="0.55000000000000004">
      <c r="A37" s="86">
        <v>19</v>
      </c>
      <c r="B37" s="85" t="str">
        <f t="shared" si="1"/>
        <v>Montag</v>
      </c>
      <c r="C37" s="87">
        <v>0.35416666666666669</v>
      </c>
      <c r="D37" s="213">
        <f t="array" ref="D37">IF(AND(COUNT(SEARCH(Sonderarbeit,$N37,1))&gt;=1,$B37=Ref!$A$7),Ref!$K$1,Ref!$K$2)</f>
        <v>0.70833333333333337</v>
      </c>
      <c r="E37" s="213">
        <f t="array" ref="E37">IF(AND(COUNT(SEARCH(Sonderarbeit,$N37))&gt;=1,$B37=Ref!$A$7),,Ref!$K$3)</f>
        <v>2.0833333333333332E-2</v>
      </c>
      <c r="F37" s="270">
        <f t="shared" si="2"/>
        <v>0.33333333333333337</v>
      </c>
      <c r="G37" s="271"/>
      <c r="H37" s="88">
        <f t="shared" si="3"/>
        <v>0.33333333333333331</v>
      </c>
      <c r="I37" s="89" t="str">
        <f>IF(AND(F37&gt;H37,OR(AND(OR($B37&lt;&gt;Ref!$A$7,$H$56&gt;0),OR($B37&lt;&gt;Ref!$A$8,$H$57&gt;0)),COUNT(SEARCH(Sonderarbeit,$N37))&gt;=1),ISNONTEXT(C37),C37&lt;&gt;""),F37-H37,"")</f>
        <v/>
      </c>
      <c r="J37" s="90" t="str">
        <f>IF(OR(AND(F37&lt;H37,OR(AND(OR($B37&lt;&gt;Ref!$A$7,$H$56&gt;0),OR($B37&lt;&gt;Ref!$A$8,$H$57&gt;0)),COUNT(SEARCH(Sonderarbeit,$N37))&gt;=1)),C37="Ausgleich"),H37-F37,"")</f>
        <v/>
      </c>
      <c r="K37" s="91" t="str">
        <f>IF(AND(B37=Ref!$A$8,SUM(I31:I37)&lt;SUM(J31:J37)),"-","")</f>
        <v/>
      </c>
      <c r="L37" s="92" t="str">
        <f>IF(B37=Ref!$A$8,ABS(SUM(I31:I37)-SUM(J31:J37)),"")</f>
        <v/>
      </c>
      <c r="M37" s="177"/>
      <c r="N37" s="181"/>
    </row>
    <row r="38" spans="1:14" ht="17.399999999999999" customHeight="1" x14ac:dyDescent="0.55000000000000004">
      <c r="A38" s="86">
        <v>20</v>
      </c>
      <c r="B38" s="85" t="str">
        <f t="shared" si="1"/>
        <v>Dienstag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0.33333333333333331</v>
      </c>
      <c r="I38" s="89" t="str">
        <f>IF(AND(F38&gt;H38,OR(AND(OR($B38&lt;&gt;Ref!$A$7,$H$56&gt;0),OR($B38&lt;&gt;Ref!$A$8,$H$57&gt;0)),COUNT(SEARCH(Sonderarbeit,$N38))&gt;=1),ISNONTEXT(C38),C38&lt;&gt;""),F38-H38,"")</f>
        <v/>
      </c>
      <c r="J38" s="90" t="str">
        <f>IF(OR(AND(F38&lt;H38,OR(AND(OR($B38&lt;&gt;Ref!$A$7,$H$56&gt;0),OR($B38&lt;&gt;Ref!$A$8,$H$57&gt;0)),COUNT(SEARCH(Sonderarbeit,$N38))&gt;=1)),C38="Ausgleich"),H38-F38,"")</f>
        <v/>
      </c>
      <c r="K38" s="91" t="str">
        <f>IF(AND(B38=Ref!$A$8,SUM(I32:I38)&lt;SUM(J32:J38)),"-","")</f>
        <v/>
      </c>
      <c r="L38" s="92" t="str">
        <f>IF(B38=Ref!$A$8,ABS(SUM(I32:I38)-SUM(J32:J38)),"")</f>
        <v/>
      </c>
      <c r="M38" s="177"/>
      <c r="N38" s="181"/>
    </row>
    <row r="39" spans="1:14" ht="17.399999999999999" customHeight="1" x14ac:dyDescent="0.55000000000000004">
      <c r="A39" s="86">
        <v>21</v>
      </c>
      <c r="B39" s="85" t="str">
        <f t="shared" si="1"/>
        <v>Mittwoch</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3"/>
        <v>0.33333333333333331</v>
      </c>
      <c r="I39" s="89" t="str">
        <f>IF(AND(F39&gt;H39,OR(AND(OR($B39&lt;&gt;Ref!$A$7,$H$56&gt;0),OR($B39&lt;&gt;Ref!$A$8,$H$57&gt;0)),COUNT(SEARCH(Sonderarbeit,$N39))&gt;=1),ISNONTEXT(C39),C39&lt;&gt;""),F39-H39,"")</f>
        <v/>
      </c>
      <c r="J39" s="90" t="str">
        <f>IF(OR(AND(F39&lt;H39,OR(AND(OR($B39&lt;&gt;Ref!$A$7,$H$56&gt;0),OR($B39&lt;&gt;Ref!$A$8,$H$57&gt;0)),COUNT(SEARCH(Sonderarbeit,$N39))&gt;=1)),C39="Ausgleich"),H39-F39,"")</f>
        <v/>
      </c>
      <c r="K39" s="91" t="str">
        <f>IF(AND(B39=Ref!$A$8,SUM(I33:I39)&lt;SUM(J33:J39)),"-","")</f>
        <v/>
      </c>
      <c r="L39" s="92" t="str">
        <f>IF(B39=Ref!$A$8,ABS(SUM(I33:I39)-SUM(J33:J39)),"")</f>
        <v/>
      </c>
      <c r="M39" s="177"/>
      <c r="N39" s="181"/>
    </row>
    <row r="40" spans="1:14" ht="17.399999999999999" customHeight="1" x14ac:dyDescent="0.55000000000000004">
      <c r="A40" s="86">
        <v>22</v>
      </c>
      <c r="B40" s="85" t="str">
        <f t="shared" si="1"/>
        <v>Donnerstag</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0.33333333333333331</v>
      </c>
      <c r="I40" s="89" t="str">
        <f>IF(AND(F40&gt;H40,OR(AND(OR($B40&lt;&gt;Ref!$A$7,$H$56&gt;0),OR($B40&lt;&gt;Ref!$A$8,$H$57&gt;0)),COUNT(SEARCH(Sonderarbeit,$N40))&gt;=1),ISNONTEXT(C40),C40&lt;&gt;""),F40-H40,"")</f>
        <v/>
      </c>
      <c r="J40" s="90" t="str">
        <f>IF(OR(AND(F40&lt;H40,OR(AND(OR($B40&lt;&gt;Ref!$A$7,$H$56&gt;0),OR($B40&lt;&gt;Ref!$A$8,$H$57&gt;0)),COUNT(SEARCH(Sonderarbeit,$N40))&gt;=1)),C40="Ausgleich"),H40-F40,"")</f>
        <v/>
      </c>
      <c r="K40" s="91" t="str">
        <f>IF(AND(B40=Ref!$A$8,SUM(I34:I40)&lt;SUM(J34:J40)),"-","")</f>
        <v/>
      </c>
      <c r="L40" s="92" t="str">
        <f>IF(B40=Ref!$A$8,ABS(SUM(I34:I40)-SUM(J34:J40)),"")</f>
        <v/>
      </c>
      <c r="M40" s="177"/>
      <c r="N40" s="181"/>
    </row>
    <row r="41" spans="1:14" ht="17.399999999999999" customHeight="1" x14ac:dyDescent="0.55000000000000004">
      <c r="A41" s="86">
        <v>23</v>
      </c>
      <c r="B41" s="85" t="str">
        <f t="shared" si="1"/>
        <v>Freitag</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0.3125</v>
      </c>
      <c r="I41" s="89">
        <f>IF(AND(F41&gt;H41,OR(AND(OR($B41&lt;&gt;Ref!$A$7,$H$56&gt;0),OR($B41&lt;&gt;Ref!$A$8,$H$57&gt;0)),COUNT(SEARCH(Sonderarbeit,$N41))&gt;=1),ISNONTEXT(C41),C41&lt;&gt;""),F41-H41,"")</f>
        <v>2.083333333333337E-2</v>
      </c>
      <c r="J41" s="90" t="str">
        <f>IF(OR(AND(F41&lt;H41,OR(AND(OR($B41&lt;&gt;Ref!$A$7,$H$56&gt;0),OR($B41&lt;&gt;Ref!$A$8,$H$57&gt;0)),COUNT(SEARCH(Sonderarbeit,$N41))&gt;=1)),C41="Ausgleich"),H41-F41,"")</f>
        <v/>
      </c>
      <c r="K41" s="91" t="str">
        <f>IF(AND(B41=Ref!$A$8,SUM(I35:I41)&lt;SUM(J35:J41)),"-","")</f>
        <v/>
      </c>
      <c r="L41" s="92" t="str">
        <f>IF(B41=Ref!$A$8,ABS(SUM(I35:I41)-SUM(J35:J41)),"")</f>
        <v/>
      </c>
      <c r="M41" s="177"/>
      <c r="N41" s="181" t="str">
        <f>IF(Mantelbogen!$C$8="Geschäftsstelle", "2025 Preisträgervorträge", "")</f>
        <v>2025 Preisträgervorträge</v>
      </c>
    </row>
    <row r="42" spans="1:14" ht="17.399999999999999" customHeight="1" x14ac:dyDescent="0.55000000000000004">
      <c r="A42" s="86">
        <v>24</v>
      </c>
      <c r="B42" s="85" t="str">
        <f t="shared" si="1"/>
        <v>Samstag</v>
      </c>
      <c r="C42" s="87">
        <v>0.35416666666666669</v>
      </c>
      <c r="D42" s="213">
        <f t="array" ref="D42">IF(AND(COUNT(SEARCH(Sonderarbeit,$N42,1))&gt;=1,$B42=Ref!$A$7),Ref!$K$1,Ref!$K$2)</f>
        <v>0.35416666666666669</v>
      </c>
      <c r="E42" s="213">
        <f t="array" ref="E42">IF(AND(COUNT(SEARCH(Sonderarbeit,$N42))&gt;=1,$B42=Ref!$A$7),,Ref!$K$3)</f>
        <v>0</v>
      </c>
      <c r="F42" s="270">
        <f t="shared" si="2"/>
        <v>0</v>
      </c>
      <c r="G42" s="271"/>
      <c r="H42" s="88">
        <f t="shared" si="3"/>
        <v>0</v>
      </c>
      <c r="I42" s="89" t="str">
        <f>IF(AND(F42&gt;H42,OR(AND(OR($B42&lt;&gt;Ref!$A$7,$H$56&gt;0),OR($B42&lt;&gt;Ref!$A$8,$H$57&gt;0)),COUNT(SEARCH(Sonderarbeit,$N42))&gt;=1),ISNONTEXT(C42),C42&lt;&gt;""),F42-H42,"")</f>
        <v/>
      </c>
      <c r="J42" s="90" t="str">
        <f>IF(OR(AND(F42&lt;H42,OR(AND(OR($B42&lt;&gt;Ref!$A$7,$H$56&gt;0),OR($B42&lt;&gt;Ref!$A$8,$H$57&gt;0)),COUNT(SEARCH(Sonderarbeit,$N42))&gt;=1)),C42="Ausgleich"),H42-F42,"")</f>
        <v/>
      </c>
      <c r="K42" s="91" t="str">
        <f>IF(AND(B42=Ref!$A$8,SUM(I36:I42)&lt;SUM(J36:J42)),"-","")</f>
        <v/>
      </c>
      <c r="L42" s="92" t="str">
        <f>IF(B42=Ref!$A$8,ABS(SUM(I36:I42)-SUM(J36:J42)),"")</f>
        <v/>
      </c>
      <c r="M42" s="177"/>
      <c r="N42" s="181" t="str">
        <f>IF(Mantelbogen!$C$8="Geschäftsstelle", "2025 Jahresfeier", "")</f>
        <v>2025 Jahresfeier</v>
      </c>
    </row>
    <row r="43" spans="1:14" ht="17.399999999999999" customHeight="1" x14ac:dyDescent="0.55000000000000004">
      <c r="A43" s="86">
        <v>25</v>
      </c>
      <c r="B43" s="85" t="str">
        <f t="shared" si="1"/>
        <v>Sonntag</v>
      </c>
      <c r="C43" s="87">
        <v>0.35416666666666669</v>
      </c>
      <c r="D43" s="213">
        <f t="array" ref="D43">IF(AND(COUNT(SEARCH(Sonderarbeit,$N43,1))&gt;=1,$B43=Ref!$A$7),Ref!$K$1,Ref!$K$2)</f>
        <v>0.70833333333333337</v>
      </c>
      <c r="E43" s="213">
        <f t="array" ref="E43">IF(AND(COUNT(SEARCH(Sonderarbeit,$N43))&gt;=1,$B43=Ref!$A$7),,Ref!$K$3)</f>
        <v>2.0833333333333332E-2</v>
      </c>
      <c r="F43" s="270">
        <f t="shared" si="2"/>
        <v>0.33333333333333337</v>
      </c>
      <c r="G43" s="271"/>
      <c r="H43" s="88">
        <f t="shared" si="3"/>
        <v>0</v>
      </c>
      <c r="I43" s="89" t="str">
        <f>IF(AND(F43&gt;H43,OR(AND(OR($B43&lt;&gt;Ref!$A$7,$H$56&gt;0),OR($B43&lt;&gt;Ref!$A$8,$H$57&gt;0)),COUNT(SEARCH(Sonderarbeit,$N43))&gt;=1),ISNONTEXT(C43),C43&lt;&gt;""),F43-H43,"")</f>
        <v/>
      </c>
      <c r="J43" s="90" t="str">
        <f>IF(OR(AND(F43&lt;H43,OR(AND(OR($B43&lt;&gt;Ref!$A$7,$H$56&gt;0),OR($B43&lt;&gt;Ref!$A$8,$H$57&gt;0)),COUNT(SEARCH(Sonderarbeit,$N43))&gt;=1)),C43="Ausgleich"),H43-F43,"")</f>
        <v/>
      </c>
      <c r="K43" s="91" t="str">
        <f>IF(AND(B43=Ref!$A$8,SUM(I37:I43)&lt;SUM(J37:J43)),"-","")</f>
        <v/>
      </c>
      <c r="L43" s="92">
        <f>IF(B43=Ref!$A$8,ABS(SUM(I37:I43)-SUM(J37:J43)),"")</f>
        <v>2.083333333333337E-2</v>
      </c>
      <c r="M43" s="182"/>
      <c r="N43" s="181"/>
    </row>
    <row r="44" spans="1:14" ht="17.399999999999999" customHeight="1" x14ac:dyDescent="0.55000000000000004">
      <c r="A44" s="86">
        <v>26</v>
      </c>
      <c r="B44" s="85" t="str">
        <f t="shared" si="1"/>
        <v>Montag</v>
      </c>
      <c r="C44" s="87">
        <v>0.35416666666666669</v>
      </c>
      <c r="D44" s="213">
        <f t="array" ref="D44">IF(AND(COUNT(SEARCH(Sonderarbeit,$N44,1))&gt;=1,$B44=Ref!$A$7),Ref!$K$1,Ref!$K$2)</f>
        <v>0.70833333333333337</v>
      </c>
      <c r="E44" s="213">
        <f t="array" ref="E44">IF(AND(COUNT(SEARCH(Sonderarbeit,$N44))&gt;=1,$B44=Ref!$A$7),,Ref!$K$3)</f>
        <v>2.0833333333333332E-2</v>
      </c>
      <c r="F44" s="270">
        <f t="shared" si="2"/>
        <v>0.33333333333333337</v>
      </c>
      <c r="G44" s="271"/>
      <c r="H44" s="88">
        <f t="shared" si="3"/>
        <v>0.33333333333333331</v>
      </c>
      <c r="I44" s="89" t="str">
        <f>IF(AND(F44&gt;H44,OR(AND(OR($B44&lt;&gt;Ref!$A$7,$H$56&gt;0),OR($B44&lt;&gt;Ref!$A$8,$H$57&gt;0)),COUNT(SEARCH(Sonderarbeit,$N44))&gt;=1),ISNONTEXT(C44),C44&lt;&gt;""),F44-H44,"")</f>
        <v/>
      </c>
      <c r="J44" s="90" t="str">
        <f>IF(OR(AND(F44&lt;H44,OR(AND(OR($B44&lt;&gt;Ref!$A$7,$H$56&gt;0),OR($B44&lt;&gt;Ref!$A$8,$H$57&gt;0)),COUNT(SEARCH(Sonderarbeit,$N44))&gt;=1)),C44="Ausgleich"),H44-F44,"")</f>
        <v/>
      </c>
      <c r="K44" s="91" t="str">
        <f>IF(AND(B44=Ref!$A$8,SUM(I38:I44)&lt;SUM(J38:J44)),"-","")</f>
        <v/>
      </c>
      <c r="L44" s="92" t="str">
        <f>IF(B44=Ref!$A$8,ABS(SUM(I38:I44)-SUM(J38:J44)),"")</f>
        <v/>
      </c>
      <c r="M44" s="177"/>
      <c r="N44" s="181"/>
    </row>
    <row r="45" spans="1:14" ht="17.399999999999999" customHeight="1" x14ac:dyDescent="0.55000000000000004">
      <c r="A45" s="86">
        <v>27</v>
      </c>
      <c r="B45" s="85" t="str">
        <f t="shared" si="1"/>
        <v>Dienstag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0.33333333333333331</v>
      </c>
      <c r="I45" s="89" t="str">
        <f>IF(AND(F45&gt;H45,OR(AND(OR($B45&lt;&gt;Ref!$A$7,$H$56&gt;0),OR($B45&lt;&gt;Ref!$A$8,$H$57&gt;0)),COUNT(SEARCH(Sonderarbeit,$N45))&gt;=1),ISNONTEXT(C45),C45&lt;&gt;""),F45-H45,"")</f>
        <v/>
      </c>
      <c r="J45" s="90" t="str">
        <f>IF(OR(AND(F45&lt;H45,OR(AND(OR($B45&lt;&gt;Ref!$A$7,$H$56&gt;0),OR($B45&lt;&gt;Ref!$A$8,$H$57&gt;0)),COUNT(SEARCH(Sonderarbeit,$N45))&gt;=1)),C45="Ausgleich"),H45-F45,"")</f>
        <v/>
      </c>
      <c r="K45" s="91" t="str">
        <f>IF(AND(B45=Ref!$A$8,SUM(I39:I45)&lt;SUM(J39:J45)),"-","")</f>
        <v/>
      </c>
      <c r="L45" s="92" t="str">
        <f>IF(B45=Ref!$A$8,ABS(SUM(I39:I45)-SUM(J39:J45)),"")</f>
        <v/>
      </c>
      <c r="M45" s="182"/>
      <c r="N45" s="181"/>
    </row>
    <row r="46" spans="1:14" ht="17.399999999999999" customHeight="1" x14ac:dyDescent="0.55000000000000004">
      <c r="A46" s="86">
        <v>28</v>
      </c>
      <c r="B46" s="85" t="str">
        <f t="shared" si="1"/>
        <v>Mittwoch</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0.33333333333333331</v>
      </c>
      <c r="I46" s="89" t="str">
        <f>IF(AND(F46&gt;H46,OR(AND(OR($B46&lt;&gt;Ref!$A$7,$H$56&gt;0),OR($B46&lt;&gt;Ref!$A$8,$H$57&gt;0)),COUNT(SEARCH(Sonderarbeit,$N46))&gt;=1),ISNONTEXT(C46),C46&lt;&gt;""),F46-H46,"")</f>
        <v/>
      </c>
      <c r="J46" s="90" t="str">
        <f>IF(OR(AND(F46&lt;H46,OR(AND(OR($B46&lt;&gt;Ref!$A$7,$H$56&gt;0),OR($B46&lt;&gt;Ref!$A$8,$H$57&gt;0)),COUNT(SEARCH(Sonderarbeit,$N46))&gt;=1)),C46="Ausgleich"),H46-F46,"")</f>
        <v/>
      </c>
      <c r="K46" s="91" t="str">
        <f>IF(AND(B46=Ref!$A$8,SUM(I40:I46)&lt;SUM(J40:J46)),"-","")</f>
        <v/>
      </c>
      <c r="L46" s="92" t="str">
        <f>IF(B46=Ref!$A$8,ABS(SUM(I40:I46)-SUM(J40:J46)),"")</f>
        <v/>
      </c>
      <c r="M46" s="182"/>
      <c r="N46" s="181"/>
    </row>
    <row r="47" spans="1:14" ht="17.399999999999999" customHeight="1" x14ac:dyDescent="0.55000000000000004">
      <c r="A47" s="86">
        <v>29</v>
      </c>
      <c r="B47" s="85" t="str">
        <f t="shared" si="1"/>
        <v>Donnerstag</v>
      </c>
      <c r="C47" s="87" t="s">
        <v>128</v>
      </c>
      <c r="D47" s="213">
        <f t="array" ref="D47">IF(AND(COUNT(SEARCH(Sonderarbeit,$N47,1))&gt;=1,$B47=Ref!$A$7),Ref!$K$1,Ref!$K$2)</f>
        <v>0.70833333333333337</v>
      </c>
      <c r="E47" s="213">
        <f t="array" ref="E47">IF(AND(COUNT(SEARCH(Sonderarbeit,$N47))&gt;=1,$B47=Ref!$A$7),,Ref!$K$3)</f>
        <v>2.0833333333333332E-2</v>
      </c>
      <c r="F47" s="270">
        <f t="shared" si="2"/>
        <v>0</v>
      </c>
      <c r="G47" s="271"/>
      <c r="H47" s="88">
        <f t="shared" si="3"/>
        <v>0</v>
      </c>
      <c r="I47" s="89" t="str">
        <f>IF(AND(F47&gt;H47,OR(AND(OR($B47&lt;&gt;Ref!$A$7,$H$56&gt;0),OR($B47&lt;&gt;Ref!$A$8,$H$57&gt;0)),COUNT(SEARCH(Sonderarbeit,$N47))&gt;=1),ISNONTEXT(C47),C47&lt;&gt;""),F47-H47,"")</f>
        <v/>
      </c>
      <c r="J47" s="90" t="str">
        <f>IF(OR(AND(F47&lt;H47,OR(AND(OR($B47&lt;&gt;Ref!$A$7,$H$56&gt;0),OR($B47&lt;&gt;Ref!$A$8,$H$57&gt;0)),COUNT(SEARCH(Sonderarbeit,$N47))&gt;=1)),C47="Ausgleich"),H47-F47,"")</f>
        <v/>
      </c>
      <c r="K47" s="91" t="str">
        <f>IF(AND(B47=Ref!$A$8,SUM(I41:I47)&lt;SUM(J41:J47)),"-","")</f>
        <v/>
      </c>
      <c r="L47" s="92" t="str">
        <f>IF(B47=Ref!$A$8,ABS(SUM(I41:I47)-SUM(J41:J47)),"")</f>
        <v/>
      </c>
      <c r="M47" s="177"/>
    </row>
    <row r="48" spans="1:14" ht="17.399999999999999" customHeight="1" x14ac:dyDescent="0.55000000000000004">
      <c r="A48" s="86">
        <v>30</v>
      </c>
      <c r="B48" s="85" t="str">
        <f t="shared" si="1"/>
        <v>Freitag</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0.3125</v>
      </c>
      <c r="I48" s="89">
        <f>IF(AND(F48&gt;H48,OR(AND(OR($B48&lt;&gt;Ref!$A$7,$H$56&gt;0),OR($B48&lt;&gt;Ref!$A$8,$H$57&gt;0)),COUNT(SEARCH(Sonderarbeit,$N48))&gt;=1),ISNONTEXT(C48),C48&lt;&gt;""),F48-H48,"")</f>
        <v>2.083333333333337E-2</v>
      </c>
      <c r="J48" s="90" t="str">
        <f>IF(OR(AND(F48&lt;H48,OR(AND(OR($B48&lt;&gt;Ref!$A$7,$H$56&gt;0),OR($B48&lt;&gt;Ref!$A$8,$H$57&gt;0)),COUNT(SEARCH(Sonderarbeit,$N48))&gt;=1)),C48="Ausgleich"),H48-F48,"")</f>
        <v/>
      </c>
      <c r="K48" s="91" t="str">
        <f>IF(AND(B48=Ref!$A$8,SUM(I42:I48)&lt;SUM(J42:J48)),"-","")</f>
        <v/>
      </c>
      <c r="L48" s="92" t="str">
        <f>IF(B48=Ref!$A$8,ABS(SUM(I42:I48)-SUM(J42:J48)),"")</f>
        <v/>
      </c>
      <c r="M48" s="177"/>
      <c r="N48" s="181" t="s">
        <v>136</v>
      </c>
    </row>
    <row r="49" spans="1:14" ht="17.399999999999999" customHeight="1" x14ac:dyDescent="0.55000000000000004">
      <c r="A49" s="86">
        <v>31</v>
      </c>
      <c r="B49" s="85" t="str">
        <f t="shared" si="1"/>
        <v>Samstag</v>
      </c>
      <c r="C49" s="87">
        <v>0.35416666666666669</v>
      </c>
      <c r="D49" s="213">
        <f t="array" ref="D49">IF(AND(COUNT(SEARCH(Sonderarbeit,$N49,1))&gt;=1,$B49=Ref!$A$7),Ref!$K$1,Ref!$K$2)</f>
        <v>0.70833333333333337</v>
      </c>
      <c r="E49" s="213">
        <f t="array" ref="E49">IF(AND(COUNT(SEARCH(Sonderarbeit,$N49))&gt;=1,$B49=Ref!$A$7),,Ref!$K$3)</f>
        <v>2.0833333333333332E-2</v>
      </c>
      <c r="F49" s="270">
        <f t="shared" si="2"/>
        <v>0.33333333333333337</v>
      </c>
      <c r="G49" s="271"/>
      <c r="H49" s="88">
        <f t="shared" si="3"/>
        <v>0</v>
      </c>
      <c r="I49" s="89" t="str">
        <f>IF(AND(F49&gt;H49,OR(AND(OR($B49&lt;&gt;Ref!$A$7,$H$56&gt;0),OR($B49&lt;&gt;Ref!$A$8,$H$57&gt;0)),COUNT(SEARCH(Sonderarbeit,$N49))&gt;=1),ISNONTEXT(C49),C49&lt;&gt;""),F49-H49,"")</f>
        <v/>
      </c>
      <c r="J49" s="90" t="str">
        <f>IF(OR(AND(F49&lt;H49,OR(AND(OR($B49&lt;&gt;Ref!$A$7,$H$56&gt;0),OR($B49&lt;&gt;Ref!$A$8,$H$57&gt;0)),COUNT(SEARCH(Sonderarbeit,$N49))&gt;=1)),C49="Ausgleich"),H49-F49,"")</f>
        <v/>
      </c>
      <c r="K49" s="97" t="str">
        <f ca="1">IF(SUM(INDIRECT("I"&amp;ROW()-WEEKDAY(DATE(J$11,MONTH(I$11),A49),3)):I49) &lt; SUM(INDIRECT("j"&amp;ROW()-WEEKDAY(DATE(J$11,MONTH(I$11),A49),3)):J49),"-","")</f>
        <v/>
      </c>
      <c r="L49" s="96">
        <f ca="1">ABS(SUM(INDIRECT("I"&amp;ROW()-WEEKDAY(DATE(J$11,MONTH(I$11),A49),3)):I49)-SUM(INDIRECT("j"&amp;ROW()-WEEKDAY(DATE(J$11,MONTH(I$11),A49))):J49))</f>
        <v>2.083333333333337E-2</v>
      </c>
      <c r="M49" s="177"/>
      <c r="N49" s="181"/>
    </row>
    <row r="50" spans="1:14" s="20" customFormat="1" ht="17.399999999999999" customHeight="1" thickBot="1" x14ac:dyDescent="0.35">
      <c r="A50" s="98" t="str">
        <f>Jan!A50</f>
        <v>Sonstige Zeiten laut beigefügter Aufstellung (s. Anlage):</v>
      </c>
      <c r="B50" s="172"/>
      <c r="C50" s="173"/>
      <c r="D50" s="101"/>
      <c r="E50" s="101"/>
      <c r="F50" s="101"/>
      <c r="G50" s="101"/>
      <c r="H50" s="165"/>
      <c r="I50" s="145">
        <v>0</v>
      </c>
      <c r="J50" s="146">
        <v>0</v>
      </c>
      <c r="K50" s="147"/>
      <c r="L50" s="148"/>
      <c r="M50" s="177"/>
      <c r="N50" s="181"/>
    </row>
    <row r="51" spans="1:14" x14ac:dyDescent="0.3">
      <c r="A51" s="257" t="s">
        <v>3</v>
      </c>
      <c r="B51" s="257"/>
      <c r="C51" s="257"/>
      <c r="D51" s="257"/>
      <c r="E51" s="105"/>
      <c r="F51" s="105"/>
      <c r="G51" s="105"/>
      <c r="H51" s="166">
        <f>Apr!H50</f>
        <v>0.33333333333333331</v>
      </c>
      <c r="I51" s="273">
        <f>SUM(I17:I50)</f>
        <v>0.43750000000000078</v>
      </c>
      <c r="J51" s="275">
        <f>SUM(J17:J50)</f>
        <v>0</v>
      </c>
      <c r="K51" s="252" t="str">
        <f ca="1">IF(SUMIF(K19:K49,"",L19:L49)&lt;SUMIF(K19:K49,"-",L19:L49),"-","")</f>
        <v/>
      </c>
      <c r="L51" s="254">
        <f ca="1">ABS(SUMIF(K19:K49,"",L19:L49)-SUMIF(K19:K49,"-",L19:L49))</f>
        <v>0.10416666666666685</v>
      </c>
      <c r="M51" s="177"/>
      <c r="N51" s="178"/>
    </row>
    <row r="52" spans="1:14" ht="13.5" thickBot="1" x14ac:dyDescent="0.35">
      <c r="A52" s="258"/>
      <c r="B52" s="258"/>
      <c r="C52" s="258"/>
      <c r="D52" s="258"/>
      <c r="E52" s="105"/>
      <c r="F52" s="105"/>
      <c r="G52" s="106" t="s">
        <v>12</v>
      </c>
      <c r="H52" s="167">
        <f>Apr!H51</f>
        <v>0.33333333333333331</v>
      </c>
      <c r="I52" s="274"/>
      <c r="J52" s="276"/>
      <c r="K52" s="253"/>
      <c r="L52" s="255"/>
    </row>
    <row r="53" spans="1:14" x14ac:dyDescent="0.3">
      <c r="A53" s="258"/>
      <c r="B53" s="258"/>
      <c r="C53" s="258"/>
      <c r="D53" s="258"/>
      <c r="E53" s="105"/>
      <c r="F53" s="105"/>
      <c r="G53" s="107"/>
      <c r="H53" s="167">
        <f>Apr!H52</f>
        <v>0.33333333333333331</v>
      </c>
      <c r="I53" s="268">
        <f>IF(I51&gt;J51,I51-J51,0)</f>
        <v>0.43750000000000078</v>
      </c>
      <c r="J53" s="266" t="str">
        <f>IF(J51&gt;I51,J51-I51,"")</f>
        <v/>
      </c>
      <c r="K53" s="110"/>
      <c r="L53" s="110"/>
    </row>
    <row r="54" spans="1:14" ht="13.5" thickBot="1" x14ac:dyDescent="0.35">
      <c r="A54" s="265" t="s">
        <v>15</v>
      </c>
      <c r="B54" s="265"/>
      <c r="C54" s="265"/>
      <c r="D54" s="265"/>
      <c r="E54" s="109"/>
      <c r="F54" s="109"/>
      <c r="G54" s="106" t="s">
        <v>13</v>
      </c>
      <c r="H54" s="167">
        <f>Apr!H53</f>
        <v>0.33333333333333331</v>
      </c>
      <c r="I54" s="269"/>
      <c r="J54" s="267"/>
      <c r="K54" s="110"/>
      <c r="L54" s="110"/>
    </row>
    <row r="55" spans="1:14" ht="13.5" thickBot="1" x14ac:dyDescent="0.35">
      <c r="A55" s="257" t="s">
        <v>4</v>
      </c>
      <c r="B55" s="257"/>
      <c r="C55" s="257"/>
      <c r="D55" s="257"/>
      <c r="E55" s="109"/>
      <c r="F55" s="109"/>
      <c r="G55" s="109"/>
      <c r="H55" s="167">
        <f>Apr!H54</f>
        <v>0.3125</v>
      </c>
      <c r="I55" s="109"/>
      <c r="J55" s="109"/>
      <c r="K55" s="110"/>
      <c r="L55" s="110"/>
    </row>
    <row r="56" spans="1:14" ht="13.25" customHeight="1" x14ac:dyDescent="0.3">
      <c r="A56" s="258"/>
      <c r="B56" s="258"/>
      <c r="C56" s="258"/>
      <c r="D56" s="258"/>
      <c r="E56" s="149" t="str">
        <f>Jan!E56</f>
        <v xml:space="preserve"> </v>
      </c>
      <c r="F56" s="150"/>
      <c r="G56" s="151" t="str">
        <f>IF(E56=" ", " ", IF(Mantelbogen!D26=I11,Mantelbogen!C29,Apr!G57))</f>
        <v xml:space="preserve"> </v>
      </c>
      <c r="H56" s="168">
        <v>0</v>
      </c>
      <c r="I56" s="259" t="s">
        <v>123</v>
      </c>
      <c r="J56" s="260"/>
      <c r="K56" s="110"/>
      <c r="L56" s="110"/>
    </row>
    <row r="57" spans="1:14" ht="13.5" thickBot="1" x14ac:dyDescent="0.35">
      <c r="A57" s="258"/>
      <c r="B57" s="258"/>
      <c r="C57" s="258"/>
      <c r="D57" s="258"/>
      <c r="E57" s="149" t="str">
        <f>Jan!E57</f>
        <v xml:space="preserve"> </v>
      </c>
      <c r="F57" s="151"/>
      <c r="G57" s="151" t="str">
        <f>IF(E56=" ", " ", -COUNTIF(C19:C49, "Urlaub*" ))</f>
        <v xml:space="preserve"> </v>
      </c>
      <c r="H57" s="169">
        <v>0</v>
      </c>
      <c r="I57" s="261"/>
      <c r="J57" s="262"/>
      <c r="K57" s="110"/>
      <c r="L57" s="110"/>
    </row>
    <row r="58" spans="1:14" ht="24.5" customHeight="1" thickBot="1" x14ac:dyDescent="0.35">
      <c r="A58" s="265" t="s">
        <v>10</v>
      </c>
      <c r="B58" s="265"/>
      <c r="C58" s="265"/>
      <c r="D58" s="265"/>
      <c r="E58" s="152" t="str">
        <f>Jan!E58</f>
        <v xml:space="preserve"> </v>
      </c>
      <c r="F58" s="153"/>
      <c r="G58" s="154" t="str">
        <f>IF(E56=" ", " ", IF(Mantelbogen!C29 &gt; 0.0001, G56+G57, 0))</f>
        <v xml:space="preserve"> </v>
      </c>
      <c r="H58" s="195">
        <f>SUM(H51:H57)</f>
        <v>1.6458333333333333</v>
      </c>
      <c r="I58" s="263"/>
      <c r="J58" s="264"/>
      <c r="K58" s="105"/>
      <c r="L58" s="117" t="str">
        <f>Mantelbogen!D47</f>
        <v>10.01.2024  HAdW / G. Wolff</v>
      </c>
    </row>
    <row r="60" spans="1:14" x14ac:dyDescent="0.3">
      <c r="G60" s="256"/>
      <c r="H60" s="256"/>
      <c r="I60" s="256"/>
      <c r="J60" s="21"/>
    </row>
    <row r="61" spans="1:14" x14ac:dyDescent="0.3">
      <c r="G61" s="21"/>
      <c r="H61" s="21"/>
      <c r="I61" s="21"/>
      <c r="J61" s="21"/>
    </row>
    <row r="62" spans="1:14" x14ac:dyDescent="0.3">
      <c r="G62" s="21"/>
      <c r="H62" s="21"/>
    </row>
  </sheetData>
  <sheetProtection password="9BC9" sheet="1" objects="1" scenarios="1"/>
  <mergeCells count="63">
    <mergeCell ref="A1:E2"/>
    <mergeCell ref="A3:E3"/>
    <mergeCell ref="A54:D54"/>
    <mergeCell ref="G60:I60"/>
    <mergeCell ref="A55:D55"/>
    <mergeCell ref="A56:D57"/>
    <mergeCell ref="I56:J58"/>
    <mergeCell ref="A58:D58"/>
    <mergeCell ref="J53:J54"/>
    <mergeCell ref="I53:I54"/>
    <mergeCell ref="F48:G48"/>
    <mergeCell ref="F49:G49"/>
    <mergeCell ref="A51:D51"/>
    <mergeCell ref="I51:I52"/>
    <mergeCell ref="J51:J52"/>
    <mergeCell ref="A52:D53"/>
    <mergeCell ref="F47:G47"/>
    <mergeCell ref="F36:G36"/>
    <mergeCell ref="F37:G37"/>
    <mergeCell ref="F38:G38"/>
    <mergeCell ref="F39:G39"/>
    <mergeCell ref="F40:G40"/>
    <mergeCell ref="F41:G41"/>
    <mergeCell ref="F42:G42"/>
    <mergeCell ref="F43:G43"/>
    <mergeCell ref="F44:G44"/>
    <mergeCell ref="F45:G45"/>
    <mergeCell ref="F46:G46"/>
    <mergeCell ref="H15:H18"/>
    <mergeCell ref="F22:G22"/>
    <mergeCell ref="F35:G35"/>
    <mergeCell ref="F24:G24"/>
    <mergeCell ref="F25:G25"/>
    <mergeCell ref="F26:G26"/>
    <mergeCell ref="F27:G27"/>
    <mergeCell ref="F28:G28"/>
    <mergeCell ref="F29:G29"/>
    <mergeCell ref="F30:G30"/>
    <mergeCell ref="F31:G31"/>
    <mergeCell ref="F32:G32"/>
    <mergeCell ref="F33:G33"/>
    <mergeCell ref="F34:G34"/>
    <mergeCell ref="E15:E18"/>
    <mergeCell ref="F15:G18"/>
    <mergeCell ref="F19:G19"/>
    <mergeCell ref="F20:G20"/>
    <mergeCell ref="F21:G21"/>
    <mergeCell ref="K51:K52"/>
    <mergeCell ref="L51:L52"/>
    <mergeCell ref="G1:J7"/>
    <mergeCell ref="A4:E6"/>
    <mergeCell ref="A11:B11"/>
    <mergeCell ref="A13:B13"/>
    <mergeCell ref="A15:A18"/>
    <mergeCell ref="I15:J15"/>
    <mergeCell ref="I17:I18"/>
    <mergeCell ref="J17:J18"/>
    <mergeCell ref="K15:L16"/>
    <mergeCell ref="K17:L18"/>
    <mergeCell ref="F23:G23"/>
    <mergeCell ref="B15:B18"/>
    <mergeCell ref="C15:C18"/>
    <mergeCell ref="D15:D18"/>
  </mergeCells>
  <phoneticPr fontId="0" type="noConversion"/>
  <conditionalFormatting sqref="C19:C49">
    <cfRule type="expression" dxfId="98" priority="7">
      <formula>ISTEXT($C19)</formula>
    </cfRule>
  </conditionalFormatting>
  <conditionalFormatting sqref="F19:F49">
    <cfRule type="expression" dxfId="97" priority="11">
      <formula>AND(ISNONTEXT($C19),$F19 &gt; 0.666667)</formula>
    </cfRule>
  </conditionalFormatting>
  <conditionalFormatting sqref="A19:L49">
    <cfRule type="expression" dxfId="96" priority="5">
      <formula>AND(ISTEXT($C19),$C19&lt;&gt;"Kinderkrankentag",$C19&lt;&gt;"Urlaub",$C19&lt;&gt;"Krank",$C19&lt;&gt;"Ausgleich")</formula>
    </cfRule>
  </conditionalFormatting>
  <conditionalFormatting sqref="D19:H49">
    <cfRule type="expression" dxfId="95" priority="4">
      <formula>AND(ISTEXT($C19),OR($C19="Kinderkrankentag",$C19="Urlaub",$C19="Krank",$C19="Ausgleich"))</formula>
    </cfRule>
  </conditionalFormatting>
  <conditionalFormatting sqref="A19:A49 C19:L49">
    <cfRule type="expression" dxfId="94" priority="1">
      <formula>COUNT(SEARCH(Sonderarbeit,$N19))&gt;=1</formula>
    </cfRule>
  </conditionalFormatting>
  <conditionalFormatting sqref="D19:J49">
    <cfRule type="expression" dxfId="93" priority="3">
      <formula>AND(ISTEXT($C19),$C19&lt;&gt;"Kinderkrankentag",$C19&lt;&gt;"Urlaub",$C19&lt;&gt;"Krank",$C19&lt;&gt;"Ausgleich")</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F8D56AD4-69CE-4B72-9BBD-5A81A34C380C}">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ED490B38-CFC1-41DA-94D4-C27EDDA3DE83}">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 xmlns:xm="http://schemas.microsoft.com/office/excel/2006/main">
          <x14:cfRule type="expression" priority="6" id="{B6EBF563-EC0A-4BBC-8C4D-8B354C2EC2B5}">
            <xm:f>OR(AND($B19=Ref!$A$7,$H$56=0), AND($B19=Ref!$A$8,$H$57=0), NOT( ISERROR(FIND("feiertag",LOWER($C19)) ) ) )</xm:f>
            <x14:dxf>
              <fill>
                <patternFill patternType="solid">
                  <bgColor rgb="FF99CCFF"/>
                </patternFill>
              </fill>
            </x14:dxf>
          </x14:cfRule>
          <xm:sqref>A19:L49</xm:sqref>
        </x14:conditionalFormatting>
        <x14:conditionalFormatting xmlns:xm="http://schemas.microsoft.com/office/excel/2006/main">
          <x14:cfRule type="expression" priority="8" id="{AEC4934E-700B-4E40-8C4B-8B5A133048CB}">
            <xm:f>OR(AND($B19=Ref!$A$7, $H$56&lt;0.00001),AND($B19=Ref!$A$8, $H$57&lt;0.00001))</xm:f>
            <x14:dxf>
              <font>
                <color rgb="FF99CCFF"/>
              </font>
              <fill>
                <patternFill>
                  <bgColor rgb="FF99CCFF"/>
                </patternFill>
              </fill>
            </x14:dxf>
          </x14:cfRule>
          <xm:sqref>C19:J49</xm:sqref>
        </x14:conditionalFormatting>
        <x14:conditionalFormatting xmlns:xm="http://schemas.microsoft.com/office/excel/2006/main">
          <x14:cfRule type="expression" priority="9" id="{DA5009F3-2B98-406F-AD98-EBED33A3449B}">
            <xm:f>AND($B19=Ref!$A$7, $H$56&gt;0.00001)</xm:f>
            <x14:dxf>
              <font>
                <b val="0"/>
                <i val="0"/>
                <color theme="1"/>
              </font>
            </x14:dxf>
          </x14:cfRule>
          <x14:cfRule type="expression" priority="10" id="{DF9ECF54-88A2-4A93-8261-4DAEBDBB8BD3}">
            <xm:f>AND($B19=Ref!$A$8, $H$57&gt;0.00001)</xm:f>
            <x14:dxf>
              <font>
                <b val="0"/>
                <i val="0"/>
              </font>
            </x14:dxf>
          </x14:cfRule>
          <xm:sqref>C19:I49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167F4FF6-D1A4-41A0-801D-B6380942E572}">
          <x14:formula1>
            <xm:f>NOT(OFFSET(C19,0,2-COLUMN(C19))=Ref!$A$7)</xm:f>
          </x14:formula1>
          <xm:sqref>C19:E49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pageSetUpPr fitToPage="1"/>
  </sheetPr>
  <dimension ref="A1:AP61"/>
  <sheetViews>
    <sheetView zoomScaleNormal="100" workbookViewId="0">
      <selection activeCell="A4" sqref="A4:E6"/>
    </sheetView>
  </sheetViews>
  <sheetFormatPr defaultColWidth="11.54296875" defaultRowHeight="12.5" x14ac:dyDescent="0.25"/>
  <cols>
    <col min="1" max="1" width="5.54296875" style="4" customWidth="1"/>
    <col min="2" max="2" width="9.08984375" style="5" customWidth="1"/>
    <col min="3" max="3" width="14.453125" style="5" bestFit="1" customWidth="1"/>
    <col min="4" max="4" width="9.08984375" style="5" customWidth="1"/>
    <col min="5" max="5" width="8.54296875" style="2" customWidth="1"/>
    <col min="6" max="6" width="7.08984375" style="2" customWidth="1"/>
    <col min="7" max="7" width="3.36328125" style="2" customWidth="1"/>
    <col min="8" max="8" width="9.08984375" style="2" customWidth="1"/>
    <col min="9" max="9" width="10" style="2" customWidth="1"/>
    <col min="10" max="10" width="10.36328125" style="2" customWidth="1"/>
    <col min="11" max="11" width="2.90625" style="17" customWidth="1"/>
    <col min="12" max="12" width="9" style="18" customWidth="1"/>
    <col min="13" max="13" width="16.36328125" style="182" customWidth="1"/>
    <col min="14" max="14" width="18.1796875" style="181" customWidth="1"/>
    <col min="15" max="16384" width="11.54296875" style="2"/>
  </cols>
  <sheetData>
    <row r="1" spans="1:12" ht="13" customHeight="1" x14ac:dyDescent="0.25">
      <c r="A1" s="289" t="s">
        <v>53</v>
      </c>
      <c r="B1" s="289"/>
      <c r="C1" s="289"/>
      <c r="D1" s="289"/>
      <c r="E1" s="289"/>
      <c r="F1" s="174"/>
      <c r="G1" s="277" t="s">
        <v>9</v>
      </c>
      <c r="H1" s="277"/>
      <c r="I1" s="277"/>
      <c r="J1" s="277"/>
      <c r="K1" s="2"/>
      <c r="L1" s="2"/>
    </row>
    <row r="2" spans="1:12" ht="13" customHeight="1" x14ac:dyDescent="0.25">
      <c r="A2" s="289"/>
      <c r="B2" s="289"/>
      <c r="C2" s="289"/>
      <c r="D2" s="289"/>
      <c r="E2" s="289"/>
      <c r="F2" s="174"/>
      <c r="G2" s="277"/>
      <c r="H2" s="277"/>
      <c r="I2" s="277"/>
      <c r="J2" s="277"/>
      <c r="K2" s="2"/>
      <c r="L2" s="2"/>
    </row>
    <row r="3" spans="1:12" ht="13" x14ac:dyDescent="0.3">
      <c r="A3" s="288" t="s">
        <v>11</v>
      </c>
      <c r="B3" s="288"/>
      <c r="C3" s="288"/>
      <c r="D3" s="288"/>
      <c r="E3" s="288"/>
      <c r="F3" s="105"/>
      <c r="G3" s="277"/>
      <c r="H3" s="277"/>
      <c r="I3" s="277"/>
      <c r="J3" s="277"/>
      <c r="K3" s="2"/>
      <c r="L3" s="2"/>
    </row>
    <row r="4" spans="1:12" ht="13.25" customHeight="1" x14ac:dyDescent="0.3">
      <c r="A4" s="278" t="s">
        <v>5</v>
      </c>
      <c r="B4" s="278"/>
      <c r="C4" s="278"/>
      <c r="D4" s="278"/>
      <c r="E4" s="278"/>
      <c r="F4" s="157"/>
      <c r="G4" s="277"/>
      <c r="H4" s="277"/>
      <c r="I4" s="277"/>
      <c r="J4" s="277"/>
      <c r="K4" s="2"/>
      <c r="L4" s="2"/>
    </row>
    <row r="5" spans="1:12" ht="6" customHeight="1" x14ac:dyDescent="0.3">
      <c r="A5" s="278"/>
      <c r="B5" s="278"/>
      <c r="C5" s="278"/>
      <c r="D5" s="278"/>
      <c r="E5" s="278"/>
      <c r="F5" s="157"/>
      <c r="G5" s="277"/>
      <c r="H5" s="277"/>
      <c r="I5" s="277"/>
      <c r="J5" s="277"/>
      <c r="K5" s="2"/>
      <c r="L5" s="2"/>
    </row>
    <row r="6" spans="1:12" ht="13.25" customHeight="1" x14ac:dyDescent="0.3">
      <c r="A6" s="278"/>
      <c r="B6" s="278"/>
      <c r="C6" s="278"/>
      <c r="D6" s="278"/>
      <c r="E6" s="278"/>
      <c r="F6" s="157"/>
      <c r="G6" s="277"/>
      <c r="H6" s="277"/>
      <c r="I6" s="277"/>
      <c r="J6" s="277"/>
      <c r="K6" s="2"/>
      <c r="L6" s="2"/>
    </row>
    <row r="7" spans="1:12" ht="13.25" customHeight="1" x14ac:dyDescent="0.25">
      <c r="A7" s="6"/>
      <c r="B7" s="6"/>
      <c r="C7" s="6"/>
      <c r="D7" s="6"/>
      <c r="E7" s="6"/>
      <c r="F7" s="6"/>
      <c r="G7" s="277"/>
      <c r="H7" s="277"/>
      <c r="I7" s="277"/>
      <c r="J7" s="277"/>
      <c r="K7" s="2"/>
      <c r="L7" s="2"/>
    </row>
    <row r="8" spans="1:12" ht="6" customHeight="1" thickBot="1" x14ac:dyDescent="0.3">
      <c r="A8" s="7"/>
      <c r="B8" s="8"/>
      <c r="C8" s="8"/>
      <c r="D8" s="8"/>
      <c r="E8" s="9"/>
      <c r="F8" s="9"/>
      <c r="G8" s="9"/>
      <c r="H8" s="9"/>
      <c r="I8" s="10"/>
      <c r="J8" s="10"/>
      <c r="K8" s="11"/>
      <c r="L8" s="12"/>
    </row>
    <row r="9" spans="1:12" ht="6" customHeight="1" x14ac:dyDescent="0.25">
      <c r="A9" s="13"/>
      <c r="B9" s="14"/>
      <c r="C9" s="14"/>
      <c r="D9" s="14"/>
      <c r="E9" s="15"/>
      <c r="F9" s="15"/>
      <c r="G9" s="15"/>
      <c r="H9" s="15"/>
      <c r="I9" s="16"/>
      <c r="J9" s="16"/>
    </row>
    <row r="10" spans="1:12" ht="13" x14ac:dyDescent="0.3">
      <c r="A10" s="119"/>
      <c r="B10" s="120"/>
      <c r="C10" s="120"/>
      <c r="D10" s="120"/>
      <c r="E10" s="121"/>
      <c r="F10" s="121"/>
      <c r="G10" s="121"/>
      <c r="H10" s="105"/>
      <c r="I10" s="122"/>
      <c r="J10" s="122"/>
      <c r="K10" s="123"/>
      <c r="L10" s="124"/>
    </row>
    <row r="11" spans="1:12" ht="13" x14ac:dyDescent="0.3">
      <c r="A11" s="290" t="s">
        <v>6</v>
      </c>
      <c r="B11" s="290"/>
      <c r="C11" s="125" t="str">
        <f>Mai!C11</f>
        <v>ATHENE, Pallas</v>
      </c>
      <c r="D11" s="126"/>
      <c r="E11" s="127"/>
      <c r="F11" s="128"/>
      <c r="G11" s="128" t="s">
        <v>8</v>
      </c>
      <c r="H11" s="129"/>
      <c r="I11" s="130">
        <f>DATE(J11,6,1)</f>
        <v>45809</v>
      </c>
      <c r="J11" s="131">
        <f>Jan!J11</f>
        <v>2025</v>
      </c>
      <c r="K11" s="132"/>
      <c r="L11" s="133"/>
    </row>
    <row r="12" spans="1:12" ht="13" x14ac:dyDescent="0.3">
      <c r="A12" s="134"/>
      <c r="B12" s="124"/>
      <c r="C12" s="135"/>
      <c r="D12" s="136"/>
      <c r="E12" s="128"/>
      <c r="F12" s="128"/>
      <c r="G12" s="121"/>
      <c r="I12" s="175"/>
      <c r="J12" s="175"/>
      <c r="K12" s="175"/>
      <c r="L12" s="175"/>
    </row>
    <row r="13" spans="1:12" ht="13" x14ac:dyDescent="0.3">
      <c r="A13" s="290" t="s">
        <v>7</v>
      </c>
      <c r="B13" s="290"/>
      <c r="C13" s="125" t="str">
        <f>Mai!C13</f>
        <v>Geschäftsstelle</v>
      </c>
      <c r="D13" s="139"/>
      <c r="E13" s="127"/>
      <c r="F13" s="140"/>
      <c r="G13" s="140"/>
      <c r="H13" s="19"/>
      <c r="I13" s="176"/>
      <c r="J13" s="176"/>
      <c r="K13" s="176"/>
      <c r="L13" s="176"/>
    </row>
    <row r="14" spans="1:12" ht="13.5" thickBot="1" x14ac:dyDescent="0.35">
      <c r="A14" s="134"/>
      <c r="B14" s="141"/>
      <c r="C14" s="141"/>
      <c r="D14" s="141"/>
      <c r="E14" s="105"/>
      <c r="F14" s="105"/>
      <c r="G14" s="105"/>
      <c r="H14" s="105"/>
      <c r="I14" s="105"/>
      <c r="J14" s="105"/>
      <c r="K14" s="123"/>
      <c r="L14" s="124"/>
    </row>
    <row r="15" spans="1:12" ht="13.25" customHeight="1" x14ac:dyDescent="0.25">
      <c r="A15" s="295"/>
      <c r="B15" s="295" t="s">
        <v>14</v>
      </c>
      <c r="C15" s="295" t="s">
        <v>18</v>
      </c>
      <c r="D15" s="295" t="s">
        <v>19</v>
      </c>
      <c r="E15" s="295" t="s">
        <v>16</v>
      </c>
      <c r="F15" s="283" t="s">
        <v>44</v>
      </c>
      <c r="G15" s="283"/>
      <c r="H15" s="279" t="s">
        <v>45</v>
      </c>
      <c r="I15" s="285" t="s">
        <v>0</v>
      </c>
      <c r="J15" s="285"/>
      <c r="K15" s="244" t="s">
        <v>43</v>
      </c>
      <c r="L15" s="245"/>
    </row>
    <row r="16" spans="1:12" ht="13" thickBot="1" x14ac:dyDescent="0.3">
      <c r="A16" s="296"/>
      <c r="B16" s="296"/>
      <c r="C16" s="296"/>
      <c r="D16" s="296"/>
      <c r="E16" s="296"/>
      <c r="F16" s="283"/>
      <c r="G16" s="283"/>
      <c r="H16" s="280"/>
      <c r="I16" s="84" t="s">
        <v>1</v>
      </c>
      <c r="J16" s="84" t="s">
        <v>2</v>
      </c>
      <c r="K16" s="246"/>
      <c r="L16" s="247"/>
    </row>
    <row r="17" spans="1:14" ht="13.5" customHeight="1" thickBot="1" x14ac:dyDescent="0.3">
      <c r="A17" s="296"/>
      <c r="B17" s="296"/>
      <c r="C17" s="296"/>
      <c r="D17" s="296"/>
      <c r="E17" s="296"/>
      <c r="F17" s="283"/>
      <c r="G17" s="283"/>
      <c r="H17" s="280"/>
      <c r="I17" s="286">
        <f>IF(Mantelbogen!D26=I11,Mantelbogen!C28,Mai!I53)</f>
        <v>0.43750000000000078</v>
      </c>
      <c r="J17" s="287" t="str">
        <f>IF(Mantelbogen!D26=I11,Mantelbogen!D28,Mai!J53)</f>
        <v/>
      </c>
      <c r="K17" s="248" t="str">
        <f>IF(I17/H57 &gt; 1, I17/H57, " " )</f>
        <v xml:space="preserve"> </v>
      </c>
      <c r="L17" s="249"/>
    </row>
    <row r="18" spans="1:14" ht="13.5" customHeight="1" thickBot="1" x14ac:dyDescent="0.3">
      <c r="A18" s="298"/>
      <c r="B18" s="297"/>
      <c r="C18" s="297"/>
      <c r="D18" s="297"/>
      <c r="E18" s="297"/>
      <c r="F18" s="283"/>
      <c r="G18" s="283"/>
      <c r="H18" s="281"/>
      <c r="I18" s="286"/>
      <c r="J18" s="287"/>
      <c r="K18" s="250"/>
      <c r="L18" s="251"/>
    </row>
    <row r="19" spans="1:14" ht="17.399999999999999" customHeight="1" x14ac:dyDescent="0.55000000000000004">
      <c r="A19" s="86">
        <v>1</v>
      </c>
      <c r="B19" s="85" t="str">
        <f>TEXT(DATE(J$11,MONTH(I$11),A19),Textcode)</f>
        <v>Sonntag</v>
      </c>
      <c r="C19" s="87">
        <v>0.35416666666666669</v>
      </c>
      <c r="D19" s="213">
        <f t="array" ref="D19">IF(AND(COUNT(SEARCH(Sonderarbeit,$N19,1))&gt;=1,$B19=Ref!$A$7),Ref!$K$1,Ref!$K$2)</f>
        <v>0.70833333333333337</v>
      </c>
      <c r="E19" s="213">
        <f t="array" ref="E19">IF(AND(COUNT(SEARCH(Sonderarbeit,$N19))&gt;=1,$B19=Ref!$A$7),,Ref!$K$3)</f>
        <v>2.0833333333333332E-2</v>
      </c>
      <c r="F19" s="270">
        <f>IF(ISTEXT(C19),,D19-C19-E19)</f>
        <v>0.33333333333333337</v>
      </c>
      <c r="G19" s="271"/>
      <c r="H19" s="88">
        <f t="shared" ref="H19:H35" si="0">IF(AND(ISTEXT(C19),ISERR(SEARCH("ausgleich",C19,1))),,INDEX(H$50:H$57,WEEKDAY(DATE(J$11,MONTH(I$11),A19),2),1,1))</f>
        <v>0</v>
      </c>
      <c r="I19" s="89" t="str">
        <f t="array" ref="I19">IF(AND(F19&gt;H19,OR(AND(OR($B19&lt;&gt;Ref!$A$7,$H$55&gt;0),OR($B19&lt;&gt;Ref!$A$8,$H$56&gt;0)),COUNT(SEARCH(Sonderarbeit,$N19))&gt;=1),ISNONTEXT(C19),C19&lt;&gt;""),F19-H19,"")</f>
        <v/>
      </c>
      <c r="J19" s="90" t="str">
        <f t="array" ref="J19">IF(OR(AND(F19&lt;H19,OR(AND(OR($B19&lt;&gt;Ref!$A$7,$H$55&gt;0),OR($B19&lt;&gt;Ref!$A$8,$H$56&gt;0)),COUNT(SEARCH(Sonderarbeit,$N19))&gt;=1)),C19="Ausgleich"),H19-F19,"")</f>
        <v/>
      </c>
      <c r="K19" s="170" t="str">
        <f>IF(AND(B19=Ref!$A$8,SUM(I19:I19)&lt;SUM(J19:J19)),"-","")</f>
        <v/>
      </c>
      <c r="L19" s="171">
        <f>IF(B19=Ref!$A$8,ABS(SUM(I19:I19)-SUM(J19:J19)),"")</f>
        <v>0</v>
      </c>
      <c r="M19" s="181"/>
    </row>
    <row r="20" spans="1:14" ht="17.399999999999999" customHeight="1" x14ac:dyDescent="0.55000000000000004">
      <c r="A20" s="86">
        <v>2</v>
      </c>
      <c r="B20" s="85" t="str">
        <f t="shared" ref="B20:B48" si="1">TEXT(DATE(J$11,MONTH(I$11),A20),Textcode)</f>
        <v>Montag</v>
      </c>
      <c r="C20" s="87">
        <v>0.35416666666666669</v>
      </c>
      <c r="D20" s="213">
        <f t="array" ref="D20">IF(AND(COUNT(SEARCH(Sonderarbeit,$N20,1))&gt;=1,$B20=Ref!$A$7),Ref!$K$1,Ref!$K$2)</f>
        <v>0.70833333333333337</v>
      </c>
      <c r="E20" s="213">
        <f t="array" ref="E20">IF(AND(COUNT(SEARCH(Sonderarbeit,$N20))&gt;=1,$B20=Ref!$A$7),,Ref!$K$3)</f>
        <v>2.0833333333333332E-2</v>
      </c>
      <c r="F20" s="270">
        <f t="shared" ref="F20:F48" si="2">IF(ISTEXT(C20),,D20-C20-E20)</f>
        <v>0.33333333333333337</v>
      </c>
      <c r="G20" s="271"/>
      <c r="H20" s="88">
        <f t="shared" si="0"/>
        <v>0.33333333333333331</v>
      </c>
      <c r="I20" s="89" t="str">
        <f t="array" ref="I20">IF(AND(F20&gt;H20,OR(AND(OR($B20&lt;&gt;Ref!$A$7,$H$55&gt;0),OR($B20&lt;&gt;Ref!$A$8,$H$56&gt;0)),COUNT(SEARCH(Sonderarbeit,$N20))&gt;=1),ISNONTEXT(C20),C20&lt;&gt;""),F20-H20,"")</f>
        <v/>
      </c>
      <c r="J20" s="90" t="str">
        <f t="array" ref="J20">IF(OR(AND(F20&lt;H20,OR(AND(OR($B20&lt;&gt;Ref!$A$7,$H$55&gt;0),OR($B20&lt;&gt;Ref!$A$8,$H$56&gt;0)),COUNT(SEARCH(Sonderarbeit,$N20))&gt;=1)),C20="Ausgleich"),H20-F20,"")</f>
        <v/>
      </c>
      <c r="K20" s="91" t="str">
        <f>IF(AND(B20=Ref!$A$8,SUM(I19:I20)&lt;SUM(J19:J20)),"-","")</f>
        <v/>
      </c>
      <c r="L20" s="92" t="str">
        <f>IF(B20=Ref!$A$8,ABS(SUM(I19:I20)-SUM(J19:J20)),"")</f>
        <v/>
      </c>
    </row>
    <row r="21" spans="1:14" ht="17.399999999999999" customHeight="1" x14ac:dyDescent="0.55000000000000004">
      <c r="A21" s="93">
        <v>3</v>
      </c>
      <c r="B21" s="85" t="str">
        <f t="shared" si="1"/>
        <v>Dienstag</v>
      </c>
      <c r="C21" s="87">
        <v>0.35416666666666669</v>
      </c>
      <c r="D21" s="213">
        <f t="array" ref="D21">IF(AND(COUNT(SEARCH(Sonderarbeit,$N21,1))&gt;=1,$B21=Ref!$A$7),Ref!$K$1,Ref!$K$2)</f>
        <v>0.70833333333333337</v>
      </c>
      <c r="E21" s="213">
        <f t="array" ref="E21">IF(AND(COUNT(SEARCH(Sonderarbeit,$N21))&gt;=1,$B21=Ref!$A$7),,Ref!$K$3)</f>
        <v>2.0833333333333332E-2</v>
      </c>
      <c r="F21" s="270">
        <f t="shared" si="2"/>
        <v>0.33333333333333337</v>
      </c>
      <c r="G21" s="271"/>
      <c r="H21" s="88">
        <f t="shared" si="0"/>
        <v>0.33333333333333331</v>
      </c>
      <c r="I21" s="89" t="str">
        <f t="array" ref="I21">IF(AND(F21&gt;H21,OR(AND(OR($B21&lt;&gt;Ref!$A$7,$H$55&gt;0),OR($B21&lt;&gt;Ref!$A$8,$H$56&gt;0)),COUNT(SEARCH(Sonderarbeit,$N21))&gt;=1),ISNONTEXT(C21),C21&lt;&gt;""),F21-H21,"")</f>
        <v/>
      </c>
      <c r="J21" s="90" t="str">
        <f t="array" ref="J21">IF(OR(AND(F21&lt;H21,OR(AND(OR($B21&lt;&gt;Ref!$A$7,$H$55&gt;0),OR($B21&lt;&gt;Ref!$A$8,$H$56&gt;0)),COUNT(SEARCH(Sonderarbeit,$N21))&gt;=1)),C21="Ausgleich"),H21-F21,"")</f>
        <v/>
      </c>
      <c r="K21" s="91" t="str">
        <f>IF(AND(B21=Ref!$A$8,SUM(I19:I21)&lt;SUM(J19:J21)),"-","")</f>
        <v/>
      </c>
      <c r="L21" s="92" t="str">
        <f>IF(B21=Ref!$A$8,ABS(SUM(I19:I21)-SUM(J19:J21)),"")</f>
        <v/>
      </c>
    </row>
    <row r="22" spans="1:14" ht="17.399999999999999" customHeight="1" x14ac:dyDescent="0.55000000000000004">
      <c r="A22" s="94">
        <v>4</v>
      </c>
      <c r="B22" s="85" t="str">
        <f t="shared" si="1"/>
        <v>Mittwoch</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0.33333333333333331</v>
      </c>
      <c r="I22" s="89" t="str">
        <f t="array" ref="I22">IF(AND(F22&gt;H22,OR(AND(OR($B22&lt;&gt;Ref!$A$7,$H$55&gt;0),OR($B22&lt;&gt;Ref!$A$8,$H$56&gt;0)),COUNT(SEARCH(Sonderarbeit,$N22))&gt;=1),ISNONTEXT(C22),C22&lt;&gt;""),F22-H22,"")</f>
        <v/>
      </c>
      <c r="J22" s="90" t="str">
        <f t="array" ref="J22">IF(OR(AND(F22&lt;H22,OR(AND(OR($B22&lt;&gt;Ref!$A$7,$H$55&gt;0),OR($B22&lt;&gt;Ref!$A$8,$H$56&gt;0)),COUNT(SEARCH(Sonderarbeit,$N22))&gt;=1)),C22="Ausgleich"),H22-F22,"")</f>
        <v/>
      </c>
      <c r="K22" s="91" t="str">
        <f>IF(AND(B22=Ref!$A$8,SUM(I19:I22)&lt;SUM(J19:J22)),"-","")</f>
        <v/>
      </c>
      <c r="L22" s="92" t="str">
        <f>IF(B22=Ref!$A$8,ABS(SUM(I19:I22)-SUM(J19:J22)),"")</f>
        <v/>
      </c>
    </row>
    <row r="23" spans="1:14" ht="17.399999999999999" customHeight="1" x14ac:dyDescent="0.55000000000000004">
      <c r="A23" s="94">
        <v>5</v>
      </c>
      <c r="B23" s="85" t="str">
        <f t="shared" si="1"/>
        <v>Donnerstag</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0.33333333333333331</v>
      </c>
      <c r="I23" s="89" t="str">
        <f t="array" ref="I23">IF(AND(F23&gt;H23,OR(AND(OR($B23&lt;&gt;Ref!$A$7,$H$55&gt;0),OR($B23&lt;&gt;Ref!$A$8,$H$56&gt;0)),COUNT(SEARCH(Sonderarbeit,$N23))&gt;=1),ISNONTEXT(C23),C23&lt;&gt;""),F23-H23,"")</f>
        <v/>
      </c>
      <c r="J23" s="90" t="str">
        <f t="array" ref="J23">IF(OR(AND(F23&lt;H23,OR(AND(OR($B23&lt;&gt;Ref!$A$7,$H$55&gt;0),OR($B23&lt;&gt;Ref!$A$8,$H$56&gt;0)),COUNT(SEARCH(Sonderarbeit,$N23))&gt;=1)),C23="Ausgleich"),H23-F23,"")</f>
        <v/>
      </c>
      <c r="K23" s="91" t="str">
        <f>IF(AND(B23=Ref!$A$8,SUM(I19:I23)&lt;SUM(J19:J23)),"-","")</f>
        <v/>
      </c>
      <c r="L23" s="92" t="str">
        <f>IF(B23=Ref!$A$8,ABS(SUM(I19:I23)-SUM(J19:J23)),"")</f>
        <v/>
      </c>
    </row>
    <row r="24" spans="1:14" ht="17.399999999999999" customHeight="1" x14ac:dyDescent="0.55000000000000004">
      <c r="A24" s="86">
        <v>6</v>
      </c>
      <c r="B24" s="85" t="str">
        <f t="shared" si="1"/>
        <v>Freitag</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 t="shared" si="0"/>
        <v>0.3125</v>
      </c>
      <c r="I24" s="89">
        <f t="array" ref="I24">IF(AND(F24&gt;H24,OR(AND(OR($B24&lt;&gt;Ref!$A$7,$H$55&gt;0),OR($B24&lt;&gt;Ref!$A$8,$H$56&gt;0)),COUNT(SEARCH(Sonderarbeit,$N24))&gt;=1),ISNONTEXT(C24),C24&lt;&gt;""),F24-H24,"")</f>
        <v>2.083333333333337E-2</v>
      </c>
      <c r="J24" s="90" t="str">
        <f t="array" ref="J24">IF(OR(AND(F24&lt;H24,OR(AND(OR($B24&lt;&gt;Ref!$A$7,$H$55&gt;0),OR($B24&lt;&gt;Ref!$A$8,$H$56&gt;0)),COUNT(SEARCH(Sonderarbeit,$N24))&gt;=1)),C24="Ausgleich"),H24-F24,"")</f>
        <v/>
      </c>
      <c r="K24" s="91" t="str">
        <f>IF(AND(B24=Ref!$A$8,SUM(I19:I24)&lt;SUM(J19:J24)),"-","")</f>
        <v/>
      </c>
      <c r="L24" s="92" t="str">
        <f>IF(B24=Ref!$A$8,ABS(SUM(I19:I24)-SUM(J19:J24)),"")</f>
        <v/>
      </c>
    </row>
    <row r="25" spans="1:14" ht="17.399999999999999" customHeight="1" x14ac:dyDescent="0.55000000000000004">
      <c r="A25" s="94">
        <v>7</v>
      </c>
      <c r="B25" s="85" t="str">
        <f t="shared" si="1"/>
        <v>Samstag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si="0"/>
        <v>0</v>
      </c>
      <c r="I25" s="89" t="str">
        <f t="array" ref="I25">IF(AND(F25&gt;H25,OR(AND(OR($B25&lt;&gt;Ref!$A$7,$H$55&gt;0),OR($B25&lt;&gt;Ref!$A$8,$H$56&gt;0)),COUNT(SEARCH(Sonderarbeit,$N25))&gt;=1),ISNONTEXT(C25),C25&lt;&gt;""),F25-H25,"")</f>
        <v/>
      </c>
      <c r="J25" s="90" t="str">
        <f t="array" ref="J25">IF(OR(AND(F25&lt;H25,OR(AND(OR($B25&lt;&gt;Ref!$A$7,$H$55&gt;0),OR($B25&lt;&gt;Ref!$A$8,$H$56&gt;0)),COUNT(SEARCH(Sonderarbeit,$N25))&gt;=1)),C25="Ausgleich"),H25-F25,"")</f>
        <v/>
      </c>
      <c r="K25" s="91" t="str">
        <f>IF(AND(B25=Ref!$A$8,SUM(I19:I25)&lt;SUM(J19:J25)),"-","")</f>
        <v/>
      </c>
      <c r="L25" s="92" t="str">
        <f>IF(B25=Ref!$A$8,ABS(SUM(I19:I25)-SUM(J19:J25)),"")</f>
        <v/>
      </c>
    </row>
    <row r="26" spans="1:14" ht="17.399999999999999" customHeight="1" x14ac:dyDescent="0.55000000000000004">
      <c r="A26" s="94">
        <v>8</v>
      </c>
      <c r="B26" s="85" t="str">
        <f t="shared" si="1"/>
        <v>Sonntag</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0"/>
        <v>0</v>
      </c>
      <c r="I26" s="89" t="str">
        <f t="array" ref="I26">IF(AND(F26&gt;H26,OR(AND(OR($B26&lt;&gt;Ref!$A$7,$H$55&gt;0),OR($B26&lt;&gt;Ref!$A$8,$H$56&gt;0)),COUNT(SEARCH(Sonderarbeit,$N26))&gt;=1),ISNONTEXT(C26),C26&lt;&gt;""),F26-H26,"")</f>
        <v/>
      </c>
      <c r="J26" s="90" t="str">
        <f t="array" ref="J26">IF(OR(AND(F26&lt;H26,OR(AND(OR($B26&lt;&gt;Ref!$A$7,$H$55&gt;0),OR($B26&lt;&gt;Ref!$A$8,$H$56&gt;0)),COUNT(SEARCH(Sonderarbeit,$N26))&gt;=1)),C26="Ausgleich"),H26-F26,"")</f>
        <v/>
      </c>
      <c r="K26" s="91" t="str">
        <f>IF(AND(B26=Ref!$A$8,SUM(I20:I26)&lt;SUM(J20:J26)),"-","")</f>
        <v/>
      </c>
      <c r="L26" s="92">
        <f>IF(B26=Ref!$A$8,ABS(SUM(I20:I26)-SUM(J20:J26)),"")</f>
        <v>2.083333333333337E-2</v>
      </c>
    </row>
    <row r="27" spans="1:14" ht="17.399999999999999" customHeight="1" x14ac:dyDescent="0.55000000000000004">
      <c r="A27" s="86">
        <v>9</v>
      </c>
      <c r="B27" s="85" t="str">
        <f t="shared" si="1"/>
        <v>Montag</v>
      </c>
      <c r="C27" s="87" t="s">
        <v>97</v>
      </c>
      <c r="D27" s="213">
        <f t="array" ref="D27">IF(AND(COUNT(SEARCH(Sonderarbeit,$N27,1))&gt;=1,$B27=Ref!$A$7),Ref!$K$1,Ref!$K$2)</f>
        <v>0.70833333333333337</v>
      </c>
      <c r="E27" s="213">
        <f t="array" ref="E27">IF(AND(COUNT(SEARCH(Sonderarbeit,$N27))&gt;=1,$B27=Ref!$A$7),,Ref!$K$3)</f>
        <v>2.0833333333333332E-2</v>
      </c>
      <c r="F27" s="270">
        <f t="shared" si="2"/>
        <v>0</v>
      </c>
      <c r="G27" s="271"/>
      <c r="H27" s="88">
        <f t="shared" si="0"/>
        <v>0</v>
      </c>
      <c r="I27" s="89" t="str">
        <f t="array" ref="I27">IF(AND(F27&gt;H27,OR(AND(OR($B27&lt;&gt;Ref!$A$7,$H$55&gt;0),OR($B27&lt;&gt;Ref!$A$8,$H$56&gt;0)),COUNT(SEARCH(Sonderarbeit,$N27))&gt;=1),ISNONTEXT(C27),C27&lt;&gt;""),F27-H27,"")</f>
        <v/>
      </c>
      <c r="J27" s="90" t="str">
        <f t="array" ref="J27">IF(OR(AND(F27&lt;H27,OR(AND(OR($B27&lt;&gt;Ref!$A$7,$H$55&gt;0),OR($B27&lt;&gt;Ref!$A$8,$H$56&gt;0)),COUNT(SEARCH(Sonderarbeit,$N27))&gt;=1)),C27="Ausgleich"),H27-F27,"")</f>
        <v/>
      </c>
      <c r="K27" s="91" t="str">
        <f>IF(AND(B27=Ref!$A$8,SUM(I21:I27)&lt;SUM(J21:J27)),"-","")</f>
        <v/>
      </c>
      <c r="L27" s="92" t="str">
        <f>IF(B27=Ref!$A$8,ABS(SUM(I21:I27)-SUM(J21:J27)),"")</f>
        <v/>
      </c>
    </row>
    <row r="28" spans="1:14" ht="17.399999999999999" customHeight="1" x14ac:dyDescent="0.55000000000000004">
      <c r="A28" s="86">
        <v>10</v>
      </c>
      <c r="B28" s="85" t="str">
        <f t="shared" si="1"/>
        <v>Dienstag</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0"/>
        <v>0.33333333333333331</v>
      </c>
      <c r="I28" s="89" t="str">
        <f t="array" ref="I28">IF(AND(F28&gt;H28,OR(AND(OR($B28&lt;&gt;Ref!$A$7,$H$55&gt;0),OR($B28&lt;&gt;Ref!$A$8,$H$56&gt;0)),COUNT(SEARCH(Sonderarbeit,$N28))&gt;=1),ISNONTEXT(C28),C28&lt;&gt;""),F28-H28,"")</f>
        <v/>
      </c>
      <c r="J28" s="90" t="str">
        <f t="array" ref="J28">IF(OR(AND(F28&lt;H28,OR(AND(OR($B28&lt;&gt;Ref!$A$7,$H$55&gt;0),OR($B28&lt;&gt;Ref!$A$8,$H$56&gt;0)),COUNT(SEARCH(Sonderarbeit,$N28))&gt;=1)),C28="Ausgleich"),H28-F28,"")</f>
        <v/>
      </c>
      <c r="K28" s="91" t="str">
        <f>IF(AND(B28=Ref!$A$8,SUM(I22:I28)&lt;SUM(J22:J28)),"-","")</f>
        <v/>
      </c>
      <c r="L28" s="92" t="str">
        <f>IF(B28=Ref!$A$8,ABS(SUM(I22:I28)-SUM(J22:J28)),"")</f>
        <v/>
      </c>
      <c r="N28" s="181" t="s">
        <v>137</v>
      </c>
    </row>
    <row r="29" spans="1:14" ht="17.399999999999999" customHeight="1" x14ac:dyDescent="0.55000000000000004">
      <c r="A29" s="94">
        <v>11</v>
      </c>
      <c r="B29" s="85" t="str">
        <f t="shared" si="1"/>
        <v>Mittwoch</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0"/>
        <v>0.33333333333333331</v>
      </c>
      <c r="I29" s="89" t="str">
        <f t="array" ref="I29">IF(AND(F29&gt;H29,OR(AND(OR($B29&lt;&gt;Ref!$A$7,$H$55&gt;0),OR($B29&lt;&gt;Ref!$A$8,$H$56&gt;0)),COUNT(SEARCH(Sonderarbeit,$N29))&gt;=1),ISNONTEXT(C29),C29&lt;&gt;""),F29-H29,"")</f>
        <v/>
      </c>
      <c r="J29" s="90" t="str">
        <f t="array" ref="J29">IF(OR(AND(F29&lt;H29,OR(AND(OR($B29&lt;&gt;Ref!$A$7,$H$55&gt;0),OR($B29&lt;&gt;Ref!$A$8,$H$56&gt;0)),COUNT(SEARCH(Sonderarbeit,$N29))&gt;=1)),C29="Ausgleich"),H29-F29,"")</f>
        <v/>
      </c>
      <c r="K29" s="91" t="str">
        <f>IF(AND(B29=Ref!$A$8,SUM(I23:I29)&lt;SUM(J23:J29)),"-","")</f>
        <v/>
      </c>
      <c r="L29" s="92" t="str">
        <f>IF(B29=Ref!$A$8,ABS(SUM(I23:I29)-SUM(J23:J29)),"")</f>
        <v/>
      </c>
    </row>
    <row r="30" spans="1:14" ht="17.399999999999999" customHeight="1" x14ac:dyDescent="0.55000000000000004">
      <c r="A30" s="94">
        <v>12</v>
      </c>
      <c r="B30" s="85" t="str">
        <f t="shared" si="1"/>
        <v>Donnerstag</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0"/>
        <v>0.33333333333333331</v>
      </c>
      <c r="I30" s="89" t="str">
        <f t="array" ref="I30">IF(AND(F30&gt;H30,OR(AND(OR($B30&lt;&gt;Ref!$A$7,$H$55&gt;0),OR($B30&lt;&gt;Ref!$A$8,$H$56&gt;0)),COUNT(SEARCH(Sonderarbeit,$N30))&gt;=1),ISNONTEXT(C30),C30&lt;&gt;""),F30-H30,"")</f>
        <v/>
      </c>
      <c r="J30" s="90" t="str">
        <f t="array" ref="J30">IF(OR(AND(F30&lt;H30,OR(AND(OR($B30&lt;&gt;Ref!$A$7,$H$55&gt;0),OR($B30&lt;&gt;Ref!$A$8,$H$56&gt;0)),COUNT(SEARCH(Sonderarbeit,$N30))&gt;=1)),C30="Ausgleich"),H30-F30,"")</f>
        <v/>
      </c>
      <c r="K30" s="91" t="str">
        <f>IF(AND(B30=Ref!$A$8,SUM(I24:I30)&lt;SUM(J24:J30)),"-","")</f>
        <v/>
      </c>
      <c r="L30" s="92" t="str">
        <f>IF(B30=Ref!$A$8,ABS(SUM(I24:I30)-SUM(J24:J30)),"")</f>
        <v/>
      </c>
    </row>
    <row r="31" spans="1:14" ht="17.399999999999999" customHeight="1" x14ac:dyDescent="0.55000000000000004">
      <c r="A31" s="94">
        <v>13</v>
      </c>
      <c r="B31" s="85" t="str">
        <f t="shared" si="1"/>
        <v>Freitag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0"/>
        <v>0.3125</v>
      </c>
      <c r="I31" s="89">
        <f t="array" ref="I31">IF(AND(F31&gt;H31,OR(AND(OR($B31&lt;&gt;Ref!$A$7,$H$55&gt;0),OR($B31&lt;&gt;Ref!$A$8,$H$56&gt;0)),COUNT(SEARCH(Sonderarbeit,$N31))&gt;=1),ISNONTEXT(C31),C31&lt;&gt;""),F31-H31,"")</f>
        <v>2.083333333333337E-2</v>
      </c>
      <c r="J31" s="90" t="str">
        <f t="array" ref="J31">IF(OR(AND(F31&lt;H31,OR(AND(OR($B31&lt;&gt;Ref!$A$7,$H$55&gt;0),OR($B31&lt;&gt;Ref!$A$8,$H$56&gt;0)),COUNT(SEARCH(Sonderarbeit,$N31))&gt;=1)),C31="Ausgleich"),H31-F31,"")</f>
        <v/>
      </c>
      <c r="K31" s="91" t="str">
        <f>IF(AND(B31=Ref!$A$8,SUM(I25:I31)&lt;SUM(J25:J31)),"-","")</f>
        <v/>
      </c>
      <c r="L31" s="92" t="str">
        <f>IF(B31=Ref!$A$8,ABS(SUM(I25:I31)-SUM(J25:J31)),"")</f>
        <v/>
      </c>
    </row>
    <row r="32" spans="1:14" ht="17.399999999999999" customHeight="1" x14ac:dyDescent="0.55000000000000004">
      <c r="A32" s="94">
        <v>14</v>
      </c>
      <c r="B32" s="85" t="str">
        <f t="shared" si="1"/>
        <v>Samstag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0"/>
        <v>0</v>
      </c>
      <c r="I32" s="89" t="str">
        <f t="array" ref="I32">IF(AND(F32&gt;H32,OR(AND(OR($B32&lt;&gt;Ref!$A$7,$H$55&gt;0),OR($B32&lt;&gt;Ref!$A$8,$H$56&gt;0)),COUNT(SEARCH(Sonderarbeit,$N32))&gt;=1),ISNONTEXT(C32),C32&lt;&gt;""),F32-H32,"")</f>
        <v/>
      </c>
      <c r="J32" s="90" t="str">
        <f t="array" ref="J32">IF(OR(AND(F32&lt;H32,OR(AND(OR($B32&lt;&gt;Ref!$A$7,$H$55&gt;0),OR($B32&lt;&gt;Ref!$A$8,$H$56&gt;0)),COUNT(SEARCH(Sonderarbeit,$N32))&gt;=1)),C32="Ausgleich"),H32-F32,"")</f>
        <v/>
      </c>
      <c r="K32" s="91" t="str">
        <f>IF(AND(B32=Ref!$A$8,SUM(I26:I32)&lt;SUM(J26:J32)),"-","")</f>
        <v/>
      </c>
      <c r="L32" s="92" t="str">
        <f>IF(B32=Ref!$A$8,ABS(SUM(I26:I32)-SUM(J26:J32)),"")</f>
        <v/>
      </c>
    </row>
    <row r="33" spans="1:42" ht="17.399999999999999" customHeight="1" x14ac:dyDescent="0.55000000000000004">
      <c r="A33" s="86">
        <v>15</v>
      </c>
      <c r="B33" s="85" t="str">
        <f t="shared" si="1"/>
        <v>Sonntag</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0"/>
        <v>0</v>
      </c>
      <c r="I33" s="89" t="str">
        <f t="array" ref="I33">IF(AND(F33&gt;H33,OR(AND(OR($B33&lt;&gt;Ref!$A$7,$H$55&gt;0),OR($B33&lt;&gt;Ref!$A$8,$H$56&gt;0)),COUNT(SEARCH(Sonderarbeit,$N33))&gt;=1),ISNONTEXT(C33),C33&lt;&gt;""),F33-H33,"")</f>
        <v/>
      </c>
      <c r="J33" s="90" t="str">
        <f t="array" ref="J33">IF(OR(AND(F33&lt;H33,OR(AND(OR($B33&lt;&gt;Ref!$A$7,$H$55&gt;0),OR($B33&lt;&gt;Ref!$A$8,$H$56&gt;0)),COUNT(SEARCH(Sonderarbeit,$N33))&gt;=1)),C33="Ausgleich"),H33-F33,"")</f>
        <v/>
      </c>
      <c r="K33" s="91" t="str">
        <f>IF(AND(B33=Ref!$A$8,SUM(I27:I33)&lt;SUM(J27:J33)),"-","")</f>
        <v/>
      </c>
      <c r="L33" s="92">
        <f>IF(B33=Ref!$A$8,ABS(SUM(I27:I33)-SUM(J27:J33)),"")</f>
        <v>2.083333333333337E-2</v>
      </c>
    </row>
    <row r="34" spans="1:42" ht="17.399999999999999" customHeight="1" x14ac:dyDescent="0.55000000000000004">
      <c r="A34" s="86">
        <v>16</v>
      </c>
      <c r="B34" s="85" t="str">
        <f t="shared" si="1"/>
        <v>Montag</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0"/>
        <v>0.33333333333333331</v>
      </c>
      <c r="I34" s="89" t="str">
        <f t="array" ref="I34">IF(AND(F34&gt;H34,OR(AND(OR($B34&lt;&gt;Ref!$A$7,$H$55&gt;0),OR($B34&lt;&gt;Ref!$A$8,$H$56&gt;0)),COUNT(SEARCH(Sonderarbeit,$N34))&gt;=1),ISNONTEXT(C34),C34&lt;&gt;""),F34-H34,"")</f>
        <v/>
      </c>
      <c r="J34" s="90" t="str">
        <f t="array" ref="J34">IF(OR(AND(F34&lt;H34,OR(AND(OR($B34&lt;&gt;Ref!$A$7,$H$55&gt;0),OR($B34&lt;&gt;Ref!$A$8,$H$56&gt;0)),COUNT(SEARCH(Sonderarbeit,$N34))&gt;=1)),C34="Ausgleich"),H34-F34,"")</f>
        <v/>
      </c>
      <c r="K34" s="91" t="str">
        <f>IF(AND(B34=Ref!$A$8,SUM(I28:I34)&lt;SUM(J28:J34)),"-","")</f>
        <v/>
      </c>
      <c r="L34" s="92" t="str">
        <f>IF(B34=Ref!$A$8,ABS(SUM(I28:I34)-SUM(J28:J34)),"")</f>
        <v/>
      </c>
    </row>
    <row r="35" spans="1:42" ht="17.399999999999999" customHeight="1" x14ac:dyDescent="0.55000000000000004">
      <c r="A35" s="86">
        <v>17</v>
      </c>
      <c r="B35" s="85" t="str">
        <f t="shared" si="1"/>
        <v>Dienstag</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0"/>
        <v>0.33333333333333331</v>
      </c>
      <c r="I35" s="89" t="str">
        <f t="array" ref="I35">IF(AND(F35&gt;H35,OR(AND(OR($B35&lt;&gt;Ref!$A$7,$H$55&gt;0),OR($B35&lt;&gt;Ref!$A$8,$H$56&gt;0)),COUNT(SEARCH(Sonderarbeit,$N35))&gt;=1),ISNONTEXT(C35),C35&lt;&gt;""),F35-H35,"")</f>
        <v/>
      </c>
      <c r="J35" s="90" t="str">
        <f t="array" ref="J35">IF(OR(AND(F35&lt;H35,OR(AND(OR($B35&lt;&gt;Ref!$A$7,$H$55&gt;0),OR($B35&lt;&gt;Ref!$A$8,$H$56&gt;0)),COUNT(SEARCH(Sonderarbeit,$N35))&gt;=1)),C35="Ausgleich"),H35-F35,"")</f>
        <v/>
      </c>
      <c r="K35" s="91" t="str">
        <f>IF(AND(B35=Ref!$A$8,SUM(I29:I35)&lt;SUM(J29:J35)),"-","")</f>
        <v/>
      </c>
      <c r="L35" s="92" t="str">
        <f>IF(B35=Ref!$A$8,ABS(SUM(I29:I35)-SUM(J29:J35)),"")</f>
        <v/>
      </c>
    </row>
    <row r="36" spans="1:42" ht="17.399999999999999" customHeight="1" x14ac:dyDescent="0.55000000000000004">
      <c r="A36" s="86">
        <v>18</v>
      </c>
      <c r="B36" s="85" t="str">
        <f t="shared" si="1"/>
        <v>Mittwoch</v>
      </c>
      <c r="C36" s="87">
        <v>0.35416666666666669</v>
      </c>
      <c r="D36" s="213">
        <f t="array" ref="D36">IF(AND(COUNT(SEARCH(Sonderarbeit,$N36,1))&gt;=1,$B36=Ref!$A$7),Ref!$K$1,Ref!$K$2)</f>
        <v>0.70833333333333337</v>
      </c>
      <c r="E36" s="213">
        <f t="array" ref="E36">IF(AND(COUNT(SEARCH(Sonderarbeit,$N36))&gt;=1,$B36=Ref!$A$7),,Ref!$K$3)</f>
        <v>2.0833333333333332E-2</v>
      </c>
      <c r="F36" s="270">
        <f t="shared" si="2"/>
        <v>0.33333333333333337</v>
      </c>
      <c r="G36" s="271"/>
      <c r="H36" s="88">
        <f>IF(AND(ISTEXT(C36),ISERR(SEARCH("ausgleich",C36,1))),,INDEX(H$50:H$57,WEEKDAY(DATE(J$11,MONTH(I$11),A36),2),1,1))</f>
        <v>0.33333333333333331</v>
      </c>
      <c r="I36" s="89" t="str">
        <f t="array" ref="I36">IF(AND(F36&gt;H36,OR(AND(OR($B36&lt;&gt;Ref!$A$7,$H$55&gt;0),OR($B36&lt;&gt;Ref!$A$8,$H$56&gt;0)),COUNT(SEARCH(Sonderarbeit,$N36))&gt;=1),ISNONTEXT(C36),C36&lt;&gt;""),F36-H36,"")</f>
        <v/>
      </c>
      <c r="J36" s="90" t="str">
        <f t="array" ref="J36">IF(OR(AND(F36&lt;H36,OR(AND(OR($B36&lt;&gt;Ref!$A$7,$H$55&gt;0),OR($B36&lt;&gt;Ref!$A$8,$H$56&gt;0)),COUNT(SEARCH(Sonderarbeit,$N36))&gt;=1)),C36="Ausgleich"),H36-F36,"")</f>
        <v/>
      </c>
      <c r="K36" s="91" t="str">
        <f>IF(AND(B36=Ref!$A$8,SUM(I30:I36)&lt;SUM(J30:J36)),"-","")</f>
        <v/>
      </c>
      <c r="L36" s="92" t="str">
        <f>IF(B36=Ref!$A$8,ABS(SUM(I30:I36)-SUM(J30:J36)),"")</f>
        <v/>
      </c>
    </row>
    <row r="37" spans="1:42" ht="17.399999999999999" customHeight="1" x14ac:dyDescent="0.55000000000000004">
      <c r="A37" s="86">
        <v>19</v>
      </c>
      <c r="B37" s="85" t="str">
        <f t="shared" si="1"/>
        <v>Donnerstag</v>
      </c>
      <c r="C37" s="87" t="s">
        <v>98</v>
      </c>
      <c r="D37" s="213">
        <f t="array" ref="D37">IF(AND(COUNT(SEARCH(Sonderarbeit,$N37,1))&gt;=1,$B37=Ref!$A$7),Ref!$K$1,Ref!$K$2)</f>
        <v>0.70833333333333337</v>
      </c>
      <c r="E37" s="213">
        <f t="array" ref="E37">IF(AND(COUNT(SEARCH(Sonderarbeit,$N37))&gt;=1,$B37=Ref!$A$7),,Ref!$K$3)</f>
        <v>2.0833333333333332E-2</v>
      </c>
      <c r="F37" s="270">
        <f t="shared" si="2"/>
        <v>0</v>
      </c>
      <c r="G37" s="271"/>
      <c r="H37" s="88">
        <f t="shared" ref="H37:H48" si="3">IF(AND(ISTEXT(C37),ISERR(SEARCH("ausgleich",C37,1))),,INDEX(H$50:H$57,WEEKDAY(DATE(J$11,MONTH(I$11),A37),2),1,1))</f>
        <v>0</v>
      </c>
      <c r="I37" s="89" t="str">
        <f t="array" ref="I37">IF(AND(F37&gt;H37,OR(AND(OR($B37&lt;&gt;Ref!$A$7,$H$55&gt;0),OR($B37&lt;&gt;Ref!$A$8,$H$56&gt;0)),COUNT(SEARCH(Sonderarbeit,$N37))&gt;=1),ISNONTEXT(C37),C37&lt;&gt;""),F37-H37,"")</f>
        <v/>
      </c>
      <c r="J37" s="90" t="str">
        <f t="array" ref="J37">IF(OR(AND(F37&lt;H37,OR(AND(OR($B37&lt;&gt;Ref!$A$7,$H$55&gt;0),OR($B37&lt;&gt;Ref!$A$8,$H$56&gt;0)),COUNT(SEARCH(Sonderarbeit,$N37))&gt;=1)),C37="Ausgleich"),H37-F37,"")</f>
        <v/>
      </c>
      <c r="K37" s="91" t="str">
        <f>IF(AND(B37=Ref!$A$8,SUM(I31:I37)&lt;SUM(J31:J37)),"-","")</f>
        <v/>
      </c>
      <c r="L37" s="92" t="str">
        <f>IF(B37=Ref!$A$8,ABS(SUM(I31:I37)-SUM(J31:J37)),"")</f>
        <v/>
      </c>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row>
    <row r="38" spans="1:42" ht="17.399999999999999" customHeight="1" x14ac:dyDescent="0.55000000000000004">
      <c r="A38" s="86">
        <v>20</v>
      </c>
      <c r="B38" s="85" t="str">
        <f t="shared" si="1"/>
        <v>Freitag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0.3125</v>
      </c>
      <c r="I38" s="89">
        <f t="array" ref="I38">IF(AND(F38&gt;H38,OR(AND(OR($B38&lt;&gt;Ref!$A$7,$H$55&gt;0),OR($B38&lt;&gt;Ref!$A$8,$H$56&gt;0)),COUNT(SEARCH(Sonderarbeit,$N38))&gt;=1),ISNONTEXT(C38),C38&lt;&gt;""),F38-H38,"")</f>
        <v>2.083333333333337E-2</v>
      </c>
      <c r="J38" s="90" t="str">
        <f t="array" ref="J38">IF(OR(AND(F38&lt;H38,OR(AND(OR($B38&lt;&gt;Ref!$A$7,$H$55&gt;0),OR($B38&lt;&gt;Ref!$A$8,$H$56&gt;0)),COUNT(SEARCH(Sonderarbeit,$N38))&gt;=1)),C38="Ausgleich"),H38-F38,"")</f>
        <v/>
      </c>
      <c r="K38" s="91" t="str">
        <f>IF(AND(B38=Ref!$A$8,SUM(I32:I38)&lt;SUM(J32:J38)),"-","")</f>
        <v/>
      </c>
      <c r="L38" s="92" t="str">
        <f>IF(B38=Ref!$A$8,ABS(SUM(I32:I38)-SUM(J32:J38)),"")</f>
        <v/>
      </c>
      <c r="N38" s="211" t="s">
        <v>135</v>
      </c>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row>
    <row r="39" spans="1:42" ht="17.399999999999999" customHeight="1" x14ac:dyDescent="0.55000000000000004">
      <c r="A39" s="86">
        <v>21</v>
      </c>
      <c r="B39" s="85" t="str">
        <f t="shared" si="1"/>
        <v>Samstag</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3"/>
        <v>0</v>
      </c>
      <c r="I39" s="89" t="str">
        <f t="array" ref="I39">IF(AND(F39&gt;H39,OR(AND(OR($B39&lt;&gt;Ref!$A$7,$H$55&gt;0),OR($B39&lt;&gt;Ref!$A$8,$H$56&gt;0)),COUNT(SEARCH(Sonderarbeit,$N39))&gt;=1),ISNONTEXT(C39),C39&lt;&gt;""),F39-H39,"")</f>
        <v/>
      </c>
      <c r="J39" s="90" t="str">
        <f t="array" ref="J39">IF(OR(AND(F39&lt;H39,OR(AND(OR($B39&lt;&gt;Ref!$A$7,$H$55&gt;0),OR($B39&lt;&gt;Ref!$A$8,$H$56&gt;0)),COUNT(SEARCH(Sonderarbeit,$N39))&gt;=1)),C39="Ausgleich"),H39-F39,"")</f>
        <v/>
      </c>
      <c r="K39" s="91" t="str">
        <f>IF(AND(B39=Ref!$A$8,SUM(I33:I39)&lt;SUM(J33:J39)),"-","")</f>
        <v/>
      </c>
      <c r="L39" s="92" t="str">
        <f>IF(B39=Ref!$A$8,ABS(SUM(I33:I39)-SUM(J33:J39)),"")</f>
        <v/>
      </c>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row>
    <row r="40" spans="1:42" ht="17.399999999999999" customHeight="1" x14ac:dyDescent="0.55000000000000004">
      <c r="A40" s="86">
        <v>22</v>
      </c>
      <c r="B40" s="85" t="str">
        <f t="shared" si="1"/>
        <v>Sonntag</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v>
      </c>
      <c r="I40" s="89" t="str">
        <f t="array" ref="I40">IF(AND(F40&gt;H40,OR(AND(OR($B40&lt;&gt;Ref!$A$7,$H$55&gt;0),OR($B40&lt;&gt;Ref!$A$8,$H$56&gt;0)),COUNT(SEARCH(Sonderarbeit,$N40))&gt;=1),ISNONTEXT(C40),C40&lt;&gt;""),F40-H40,"")</f>
        <v/>
      </c>
      <c r="J40" s="90" t="str">
        <f t="array" ref="J40">IF(OR(AND(F40&lt;H40,OR(AND(OR($B40&lt;&gt;Ref!$A$7,$H$55&gt;0),OR($B40&lt;&gt;Ref!$A$8,$H$56&gt;0)),COUNT(SEARCH(Sonderarbeit,$N40))&gt;=1)),C40="Ausgleich"),H40-F40,"")</f>
        <v/>
      </c>
      <c r="K40" s="91" t="str">
        <f>IF(AND(B40=Ref!$A$8,SUM(I34:I40)&lt;SUM(J34:J40)),"-","")</f>
        <v/>
      </c>
      <c r="L40" s="92">
        <f>IF(B40=Ref!$A$8,ABS(SUM(I34:I40)-SUM(J34:J40)),"")</f>
        <v>2.083333333333337E-2</v>
      </c>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row>
    <row r="41" spans="1:42" ht="17.399999999999999" customHeight="1" x14ac:dyDescent="0.55000000000000004">
      <c r="A41" s="86">
        <v>23</v>
      </c>
      <c r="B41" s="85" t="str">
        <f t="shared" si="1"/>
        <v>Montag</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0.33333333333333331</v>
      </c>
      <c r="I41" s="89" t="str">
        <f t="array" ref="I41">IF(AND(F41&gt;H41,OR(AND(OR($B41&lt;&gt;Ref!$A$7,$H$55&gt;0),OR($B41&lt;&gt;Ref!$A$8,$H$56&gt;0)),COUNT(SEARCH(Sonderarbeit,$N41))&gt;=1),ISNONTEXT(C41),C41&lt;&gt;""),F41-H41,"")</f>
        <v/>
      </c>
      <c r="J41" s="90" t="str">
        <f t="array" ref="J41">IF(OR(AND(F41&lt;H41,OR(AND(OR($B41&lt;&gt;Ref!$A$7,$H$55&gt;0),OR($B41&lt;&gt;Ref!$A$8,$H$56&gt;0)),COUNT(SEARCH(Sonderarbeit,$N41))&gt;=1)),C41="Ausgleich"),H41-F41,"")</f>
        <v/>
      </c>
      <c r="K41" s="91" t="str">
        <f>IF(AND(B41=Ref!$A$8,SUM(I35:I41)&lt;SUM(J35:J41)),"-","")</f>
        <v/>
      </c>
      <c r="L41" s="92" t="str">
        <f>IF(B41=Ref!$A$8,ABS(SUM(I35:I41)-SUM(J35:J41)),"")</f>
        <v/>
      </c>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row>
    <row r="42" spans="1:42" ht="17.399999999999999" customHeight="1" x14ac:dyDescent="0.55000000000000004">
      <c r="A42" s="86">
        <v>24</v>
      </c>
      <c r="B42" s="85" t="str">
        <f t="shared" si="1"/>
        <v>Dienstag</v>
      </c>
      <c r="C42" s="87">
        <v>0.35416666666666669</v>
      </c>
      <c r="D42" s="213">
        <f t="array" ref="D42">IF(AND(COUNT(SEARCH(Sonderarbeit,$N42,1))&gt;=1,$B42=Ref!$A$7),Ref!$K$1,Ref!$K$2)</f>
        <v>0.70833333333333337</v>
      </c>
      <c r="E42" s="213">
        <f t="array" ref="E42">IF(AND(COUNT(SEARCH(Sonderarbeit,$N42))&gt;=1,$B42=Ref!$A$7),,Ref!$K$3)</f>
        <v>2.0833333333333332E-2</v>
      </c>
      <c r="F42" s="270">
        <f t="shared" si="2"/>
        <v>0.33333333333333337</v>
      </c>
      <c r="G42" s="271"/>
      <c r="H42" s="88">
        <f t="shared" si="3"/>
        <v>0.33333333333333331</v>
      </c>
      <c r="I42" s="89" t="str">
        <f t="array" ref="I42">IF(AND(F42&gt;H42,OR(AND(OR($B42&lt;&gt;Ref!$A$7,$H$55&gt;0),OR($B42&lt;&gt;Ref!$A$8,$H$56&gt;0)),COUNT(SEARCH(Sonderarbeit,$N42))&gt;=1),ISNONTEXT(C42),C42&lt;&gt;""),F42-H42,"")</f>
        <v/>
      </c>
      <c r="J42" s="90" t="str">
        <f t="array" ref="J42">IF(OR(AND(F42&lt;H42,OR(AND(OR($B42&lt;&gt;Ref!$A$7,$H$55&gt;0),OR($B42&lt;&gt;Ref!$A$8,$H$56&gt;0)),COUNT(SEARCH(Sonderarbeit,$N42))&gt;=1)),C42="Ausgleich"),H42-F42,"")</f>
        <v/>
      </c>
      <c r="K42" s="91" t="str">
        <f>IF(AND(B42=Ref!$A$8,SUM(I36:I42)&lt;SUM(J36:J42)),"-","")</f>
        <v/>
      </c>
      <c r="L42" s="92" t="str">
        <f>IF(B42=Ref!$A$8,ABS(SUM(I36:I42)-SUM(J36:J42)),"")</f>
        <v/>
      </c>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row>
    <row r="43" spans="1:42" ht="17.399999999999999" customHeight="1" x14ac:dyDescent="0.55000000000000004">
      <c r="A43" s="86">
        <v>25</v>
      </c>
      <c r="B43" s="85" t="str">
        <f t="shared" si="1"/>
        <v>Mittwoch</v>
      </c>
      <c r="C43" s="87">
        <v>0.35416666666666669</v>
      </c>
      <c r="D43" s="213">
        <f t="array" ref="D43">IF(AND(COUNT(SEARCH(Sonderarbeit,$N43,1))&gt;=1,$B43=Ref!$A$7),Ref!$K$1,Ref!$K$2)</f>
        <v>0.70833333333333337</v>
      </c>
      <c r="E43" s="213">
        <f t="array" ref="E43">IF(AND(COUNT(SEARCH(Sonderarbeit,$N43))&gt;=1,$B43=Ref!$A$7),,Ref!$K$3)</f>
        <v>2.0833333333333332E-2</v>
      </c>
      <c r="F43" s="270">
        <f t="shared" si="2"/>
        <v>0.33333333333333337</v>
      </c>
      <c r="G43" s="271"/>
      <c r="H43" s="88">
        <f t="shared" si="3"/>
        <v>0.33333333333333331</v>
      </c>
      <c r="I43" s="89" t="str">
        <f t="array" ref="I43">IF(AND(F43&gt;H43,OR(AND(OR($B43&lt;&gt;Ref!$A$7,$H$55&gt;0),OR($B43&lt;&gt;Ref!$A$8,$H$56&gt;0)),COUNT(SEARCH(Sonderarbeit,$N43))&gt;=1),ISNONTEXT(C43),C43&lt;&gt;""),F43-H43,"")</f>
        <v/>
      </c>
      <c r="J43" s="90" t="str">
        <f t="array" ref="J43">IF(OR(AND(F43&lt;H43,OR(AND(OR($B43&lt;&gt;Ref!$A$7,$H$55&gt;0),OR($B43&lt;&gt;Ref!$A$8,$H$56&gt;0)),COUNT(SEARCH(Sonderarbeit,$N43))&gt;=1)),C43="Ausgleich"),H43-F43,"")</f>
        <v/>
      </c>
      <c r="K43" s="91" t="str">
        <f>IF(AND(B43=Ref!$A$8,SUM(I37:I43)&lt;SUM(J37:J43)),"-","")</f>
        <v/>
      </c>
      <c r="L43" s="92" t="str">
        <f>IF(B43=Ref!$A$8,ABS(SUM(I37:I43)-SUM(J37:J43)),"")</f>
        <v/>
      </c>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row>
    <row r="44" spans="1:42" ht="17.399999999999999" customHeight="1" x14ac:dyDescent="0.55000000000000004">
      <c r="A44" s="86">
        <v>26</v>
      </c>
      <c r="B44" s="85" t="str">
        <f t="shared" si="1"/>
        <v>Donnerstag</v>
      </c>
      <c r="C44" s="87">
        <v>0.35416666666666669</v>
      </c>
      <c r="D44" s="213">
        <f t="array" ref="D44">IF(AND(COUNT(SEARCH(Sonderarbeit,$N44,1))&gt;=1,$B44=Ref!$A$7),Ref!$K$1,Ref!$K$2)</f>
        <v>0.70833333333333337</v>
      </c>
      <c r="E44" s="213">
        <f t="array" ref="E44">IF(AND(COUNT(SEARCH(Sonderarbeit,$N44))&gt;=1,$B44=Ref!$A$7),,Ref!$K$3)</f>
        <v>2.0833333333333332E-2</v>
      </c>
      <c r="F44" s="270">
        <f t="shared" si="2"/>
        <v>0.33333333333333337</v>
      </c>
      <c r="G44" s="271"/>
      <c r="H44" s="88">
        <f t="shared" si="3"/>
        <v>0.33333333333333331</v>
      </c>
      <c r="I44" s="89" t="str">
        <f t="array" ref="I44">IF(AND(F44&gt;H44,OR(AND(OR($B44&lt;&gt;Ref!$A$7,$H$55&gt;0),OR($B44&lt;&gt;Ref!$A$8,$H$56&gt;0)),COUNT(SEARCH(Sonderarbeit,$N44))&gt;=1),ISNONTEXT(C44),C44&lt;&gt;""),F44-H44,"")</f>
        <v/>
      </c>
      <c r="J44" s="90" t="str">
        <f t="array" ref="J44">IF(OR(AND(F44&lt;H44,OR(AND(OR($B44&lt;&gt;Ref!$A$7,$H$55&gt;0),OR($B44&lt;&gt;Ref!$A$8,$H$56&gt;0)),COUNT(SEARCH(Sonderarbeit,$N44))&gt;=1)),C44="Ausgleich"),H44-F44,"")</f>
        <v/>
      </c>
      <c r="K44" s="91" t="str">
        <f>IF(AND(B44=Ref!$A$8,SUM(I38:I44)&lt;SUM(J38:J44)),"-","")</f>
        <v/>
      </c>
      <c r="L44" s="92" t="str">
        <f>IF(B44=Ref!$A$8,ABS(SUM(I38:I44)-SUM(J38:J44)),"")</f>
        <v/>
      </c>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row>
    <row r="45" spans="1:42" ht="17.399999999999999" customHeight="1" x14ac:dyDescent="0.55000000000000004">
      <c r="A45" s="86">
        <v>27</v>
      </c>
      <c r="B45" s="85" t="str">
        <f t="shared" si="1"/>
        <v>Freitag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0.3125</v>
      </c>
      <c r="I45" s="89">
        <f t="array" ref="I45">IF(AND(F45&gt;H45,OR(AND(OR($B45&lt;&gt;Ref!$A$7,$H$55&gt;0),OR($B45&lt;&gt;Ref!$A$8,$H$56&gt;0)),COUNT(SEARCH(Sonderarbeit,$N45))&gt;=1),ISNONTEXT(C45),C45&lt;&gt;""),F45-H45,"")</f>
        <v>2.083333333333337E-2</v>
      </c>
      <c r="J45" s="90" t="str">
        <f t="array" ref="J45">IF(OR(AND(F45&lt;H45,OR(AND(OR($B45&lt;&gt;Ref!$A$7,$H$55&gt;0),OR($B45&lt;&gt;Ref!$A$8,$H$56&gt;0)),COUNT(SEARCH(Sonderarbeit,$N45))&gt;=1)),C45="Ausgleich"),H45-F45,"")</f>
        <v/>
      </c>
      <c r="K45" s="91" t="str">
        <f>IF(AND(B45=Ref!$A$8,SUM(I39:I45)&lt;SUM(J39:J45)),"-","")</f>
        <v/>
      </c>
      <c r="L45" s="92" t="str">
        <f>IF(B45=Ref!$A$8,ABS(SUM(I39:I45)-SUM(J39:J45)),"")</f>
        <v/>
      </c>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row>
    <row r="46" spans="1:42" ht="17.399999999999999" customHeight="1" x14ac:dyDescent="0.55000000000000004">
      <c r="A46" s="86">
        <v>28</v>
      </c>
      <c r="B46" s="85" t="str">
        <f t="shared" si="1"/>
        <v>Samstag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v>
      </c>
      <c r="I46" s="89" t="str">
        <f t="array" ref="I46">IF(AND(F46&gt;H46,OR(AND(OR($B46&lt;&gt;Ref!$A$7,$H$55&gt;0),OR($B46&lt;&gt;Ref!$A$8,$H$56&gt;0)),COUNT(SEARCH(Sonderarbeit,$N46))&gt;=1),ISNONTEXT(C46),C46&lt;&gt;""),F46-H46,"")</f>
        <v/>
      </c>
      <c r="J46" s="90" t="str">
        <f t="array" ref="J46">IF(OR(AND(F46&lt;H46,OR(AND(OR($B46&lt;&gt;Ref!$A$7,$H$55&gt;0),OR($B46&lt;&gt;Ref!$A$8,$H$56&gt;0)),COUNT(SEARCH(Sonderarbeit,$N46))&gt;=1)),C46="Ausgleich"),H46-F46,"")</f>
        <v/>
      </c>
      <c r="K46" s="91" t="str">
        <f>IF(AND(B46=Ref!$A$8,SUM(I40:I46)&lt;SUM(J40:J46)),"-","")</f>
        <v/>
      </c>
      <c r="L46" s="92" t="str">
        <f>IF(B46=Ref!$A$8,ABS(SUM(I40:I46)-SUM(J40:J46)),"")</f>
        <v/>
      </c>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row>
    <row r="47" spans="1:42" ht="17.399999999999999" customHeight="1" x14ac:dyDescent="0.55000000000000004">
      <c r="A47" s="86">
        <v>29</v>
      </c>
      <c r="B47" s="85" t="str">
        <f t="shared" si="1"/>
        <v>Sonntag</v>
      </c>
      <c r="C47" s="87">
        <v>0.35416666666666669</v>
      </c>
      <c r="D47" s="213">
        <f t="array" ref="D47">IF(AND(COUNT(SEARCH(Sonderarbeit,$N47,1))&gt;=1,$B47=Ref!$A$7),Ref!$K$1,Ref!$K$2)</f>
        <v>0.70833333333333337</v>
      </c>
      <c r="E47" s="213">
        <f t="array" ref="E47">IF(AND(COUNT(SEARCH(Sonderarbeit,$N47))&gt;=1,$B47=Ref!$A$7),,Ref!$K$3)</f>
        <v>2.0833333333333332E-2</v>
      </c>
      <c r="F47" s="270">
        <f t="shared" si="2"/>
        <v>0.33333333333333337</v>
      </c>
      <c r="G47" s="271"/>
      <c r="H47" s="88">
        <f t="shared" si="3"/>
        <v>0</v>
      </c>
      <c r="I47" s="89" t="str">
        <f t="array" ref="I47">IF(AND(F47&gt;H47,OR(AND(OR($B47&lt;&gt;Ref!$A$7,$H$55&gt;0),OR($B47&lt;&gt;Ref!$A$8,$H$56&gt;0)),COUNT(SEARCH(Sonderarbeit,$N47))&gt;=1),ISNONTEXT(C47),C47&lt;&gt;""),F47-H47,"")</f>
        <v/>
      </c>
      <c r="J47" s="90" t="str">
        <f t="array" ref="J47">IF(OR(AND(F47&lt;H47,OR(AND(OR($B47&lt;&gt;Ref!$A$7,$H$55&gt;0),OR($B47&lt;&gt;Ref!$A$8,$H$56&gt;0)),COUNT(SEARCH(Sonderarbeit,$N47))&gt;=1)),C47="Ausgleich"),H47-F47,"")</f>
        <v/>
      </c>
      <c r="K47" s="91" t="str">
        <f>IF(AND(B47=Ref!$A$8,SUM(I41:I47)&lt;SUM(J41:J47)),"-","")</f>
        <v/>
      </c>
      <c r="L47" s="92">
        <f>IF(B47=Ref!$A$8,ABS(SUM(I41:I47)-SUM(J41:J47)),"")</f>
        <v>2.083333333333337E-2</v>
      </c>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row>
    <row r="48" spans="1:42" ht="17.399999999999999" customHeight="1" x14ac:dyDescent="0.55000000000000004">
      <c r="A48" s="86">
        <v>30</v>
      </c>
      <c r="B48" s="85" t="str">
        <f t="shared" si="1"/>
        <v>Montag</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0.33333333333333331</v>
      </c>
      <c r="I48" s="89" t="str">
        <f t="array" ref="I48">IF(AND(F48&gt;H48,OR(AND(OR($B48&lt;&gt;Ref!$A$7,$H$55&gt;0),OR($B48&lt;&gt;Ref!$A$8,$H$56&gt;0)),COUNT(SEARCH(Sonderarbeit,$N48))&gt;=1),ISNONTEXT(C48),C48&lt;&gt;""),F48-H48,"")</f>
        <v/>
      </c>
      <c r="J48" s="90" t="str">
        <f t="array" ref="J48">IF(OR(AND(F48&lt;H48,OR(AND(OR($B48&lt;&gt;Ref!$A$7,$H$55&gt;0),OR($B48&lt;&gt;Ref!$A$8,$H$56&gt;0)),COUNT(SEARCH(Sonderarbeit,$N48))&gt;=1)),C48="Ausgleich"),H48-F48,"")</f>
        <v/>
      </c>
      <c r="K48" s="95" t="str">
        <f ca="1">IF(SUM(INDIRECT("I"&amp;ROW()-WEEKDAY(DATE(J$11,MONTH(I$11),A48),3)):I48) &lt; SUM(INDIRECT("j"&amp;ROW()-WEEKDAY(DATE(J$11,MONTH(I$11),A48),3)):J48),"-","")</f>
        <v/>
      </c>
      <c r="L48" s="96">
        <f ca="1">ABS(SUM(INDIRECT("I"&amp;ROW()-WEEKDAY(DATE(J$11,MONTH(I$11),A48),3)):I48)-SUM(INDIRECT("j"&amp;ROW()-WEEKDAY(DATE(J$11,MONTH(I$11),A48))):J48))</f>
        <v>0</v>
      </c>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row>
    <row r="49" spans="1:42" s="20" customFormat="1" ht="17.399999999999999" customHeight="1" thickBot="1" x14ac:dyDescent="0.35">
      <c r="A49" s="98" t="str">
        <f>Jan!A50</f>
        <v>Sonstige Zeiten laut beigefügter Aufstellung (s. Anlage):</v>
      </c>
      <c r="B49" s="99"/>
      <c r="C49" s="100"/>
      <c r="D49" s="101"/>
      <c r="E49" s="101"/>
      <c r="F49" s="101"/>
      <c r="G49" s="101"/>
      <c r="H49" s="165"/>
      <c r="I49" s="145">
        <v>0</v>
      </c>
      <c r="J49" s="146">
        <v>0</v>
      </c>
      <c r="K49" s="147"/>
      <c r="L49" s="148"/>
      <c r="M49" s="191"/>
      <c r="N49" s="192"/>
      <c r="O49" s="193"/>
      <c r="P49" s="193"/>
      <c r="Q49" s="193"/>
      <c r="R49" s="193"/>
      <c r="S49" s="193"/>
      <c r="T49" s="193"/>
      <c r="U49" s="193"/>
      <c r="V49" s="193"/>
      <c r="W49" s="193"/>
      <c r="X49" s="193"/>
      <c r="Y49" s="193"/>
      <c r="Z49" s="193"/>
      <c r="AA49" s="193"/>
      <c r="AB49" s="193"/>
      <c r="AC49" s="193"/>
      <c r="AD49" s="193"/>
      <c r="AE49" s="193"/>
      <c r="AF49" s="193"/>
      <c r="AG49" s="193"/>
      <c r="AH49" s="193"/>
      <c r="AI49" s="193"/>
      <c r="AJ49" s="193"/>
      <c r="AK49" s="193"/>
      <c r="AL49" s="193"/>
      <c r="AM49" s="193"/>
      <c r="AN49" s="193"/>
      <c r="AO49" s="193"/>
      <c r="AP49" s="193"/>
    </row>
    <row r="50" spans="1:42" ht="13" x14ac:dyDescent="0.3">
      <c r="A50" s="326" t="s">
        <v>3</v>
      </c>
      <c r="B50" s="326"/>
      <c r="C50" s="326"/>
      <c r="D50" s="326"/>
      <c r="E50" s="105"/>
      <c r="F50" s="105"/>
      <c r="G50" s="105"/>
      <c r="H50" s="166">
        <f>Mai!H51</f>
        <v>0.33333333333333331</v>
      </c>
      <c r="I50" s="273">
        <f>SUM(I17:I49)</f>
        <v>0.52083333333333426</v>
      </c>
      <c r="J50" s="275">
        <f>SUM(J17:J49)</f>
        <v>0</v>
      </c>
      <c r="K50" s="252" t="str">
        <f ca="1">IF(SUMIF(K19:K48,"",L19:L48)&lt;SUMIF(K19:K48,"-",L19:L48),"-","")</f>
        <v/>
      </c>
      <c r="L50" s="254">
        <f ca="1">ABS(SUMIF(K19:K48,"",L19:L48)-SUMIF(K19:K48,"-",L19:L48))</f>
        <v>8.3333333333333481E-2</v>
      </c>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row>
    <row r="51" spans="1:42" ht="13.5" thickBot="1" x14ac:dyDescent="0.35">
      <c r="A51" s="258"/>
      <c r="B51" s="258"/>
      <c r="C51" s="258"/>
      <c r="D51" s="258"/>
      <c r="E51" s="105"/>
      <c r="F51" s="105"/>
      <c r="G51" s="106" t="s">
        <v>12</v>
      </c>
      <c r="H51" s="167">
        <f>Mai!H52</f>
        <v>0.33333333333333331</v>
      </c>
      <c r="I51" s="274"/>
      <c r="J51" s="276"/>
      <c r="K51" s="253"/>
      <c r="L51" s="25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row>
    <row r="52" spans="1:42" ht="13" x14ac:dyDescent="0.3">
      <c r="A52" s="258"/>
      <c r="B52" s="258"/>
      <c r="C52" s="258"/>
      <c r="D52" s="258"/>
      <c r="E52" s="105"/>
      <c r="F52" s="105"/>
      <c r="G52" s="107"/>
      <c r="H52" s="167">
        <f>Mai!H53</f>
        <v>0.33333333333333331</v>
      </c>
      <c r="I52" s="268">
        <f>IF(I50&gt;J50,I50-J50,0)</f>
        <v>0.52083333333333426</v>
      </c>
      <c r="J52" s="266" t="str">
        <f>IF(J50&gt;I50,J50-I50,"")</f>
        <v/>
      </c>
      <c r="K52" s="110"/>
      <c r="L52" s="110"/>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row>
    <row r="53" spans="1:42" ht="13.5" thickBot="1" x14ac:dyDescent="0.35">
      <c r="A53" s="265" t="s">
        <v>15</v>
      </c>
      <c r="B53" s="265"/>
      <c r="C53" s="265"/>
      <c r="D53" s="265"/>
      <c r="E53" s="109"/>
      <c r="F53" s="109"/>
      <c r="G53" s="106" t="s">
        <v>13</v>
      </c>
      <c r="H53" s="167">
        <f>Mai!H54</f>
        <v>0.33333333333333331</v>
      </c>
      <c r="I53" s="269"/>
      <c r="J53" s="267"/>
      <c r="K53" s="110"/>
      <c r="L53" s="110"/>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row>
    <row r="54" spans="1:42" ht="13.5" thickBot="1" x14ac:dyDescent="0.35">
      <c r="A54" s="257" t="s">
        <v>4</v>
      </c>
      <c r="B54" s="257"/>
      <c r="C54" s="257"/>
      <c r="D54" s="257"/>
      <c r="E54" s="109"/>
      <c r="F54" s="109"/>
      <c r="G54" s="109"/>
      <c r="H54" s="167">
        <f>Mai!H55</f>
        <v>0.3125</v>
      </c>
      <c r="I54" s="109"/>
      <c r="J54" s="109"/>
      <c r="K54" s="110"/>
      <c r="L54" s="110"/>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row>
    <row r="55" spans="1:42" ht="13.25" customHeight="1" x14ac:dyDescent="0.3">
      <c r="A55" s="258"/>
      <c r="B55" s="258"/>
      <c r="C55" s="258"/>
      <c r="D55" s="258"/>
      <c r="E55" s="149" t="str">
        <f>Jan!E56</f>
        <v xml:space="preserve"> </v>
      </c>
      <c r="F55" s="150"/>
      <c r="G55" s="151" t="str">
        <f>IF(E55=" ", " ", IF(Mantelbogen!D26=I11,Mantelbogen!C29,Mai!G58))</f>
        <v xml:space="preserve"> </v>
      </c>
      <c r="H55" s="168">
        <v>0</v>
      </c>
      <c r="I55" s="259" t="s">
        <v>123</v>
      </c>
      <c r="J55" s="260"/>
      <c r="K55" s="110"/>
      <c r="L55" s="110"/>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row>
    <row r="56" spans="1:42" ht="13.5" thickBot="1" x14ac:dyDescent="0.35">
      <c r="A56" s="258"/>
      <c r="B56" s="258"/>
      <c r="C56" s="258"/>
      <c r="D56" s="258"/>
      <c r="E56" s="149" t="str">
        <f>Jan!E57</f>
        <v xml:space="preserve"> </v>
      </c>
      <c r="F56" s="151"/>
      <c r="G56" s="151" t="str">
        <f>IF(E55=" ", " ", -COUNTIF(C19:C48, "Urlaub*" ))</f>
        <v xml:space="preserve"> </v>
      </c>
      <c r="H56" s="169">
        <v>0</v>
      </c>
      <c r="I56" s="261"/>
      <c r="J56" s="262"/>
      <c r="K56" s="110"/>
      <c r="L56" s="110"/>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row>
    <row r="57" spans="1:42" ht="24.5" customHeight="1" thickBot="1" x14ac:dyDescent="0.35">
      <c r="A57" s="265" t="s">
        <v>10</v>
      </c>
      <c r="B57" s="265"/>
      <c r="C57" s="265"/>
      <c r="D57" s="265"/>
      <c r="E57" s="152" t="str">
        <f>Jan!E58</f>
        <v xml:space="preserve"> </v>
      </c>
      <c r="F57" s="153"/>
      <c r="G57" s="154" t="str">
        <f>IF(E55=" ", " ", IF(Mantelbogen!C29 &gt; 0.0001, G55+G56, 0))</f>
        <v xml:space="preserve"> </v>
      </c>
      <c r="H57" s="195">
        <f>SUM(H50:H56)</f>
        <v>1.6458333333333333</v>
      </c>
      <c r="I57" s="263"/>
      <c r="J57" s="264"/>
      <c r="K57" s="105"/>
      <c r="L57" s="118" t="str">
        <f>Mantelbogen!D47</f>
        <v>10.01.2024  HAdW / G. Wolff</v>
      </c>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row>
    <row r="59" spans="1:42" x14ac:dyDescent="0.25">
      <c r="G59" s="256"/>
      <c r="H59" s="256"/>
      <c r="I59" s="256"/>
      <c r="J59" s="21"/>
    </row>
    <row r="60" spans="1:42" x14ac:dyDescent="0.25">
      <c r="G60" s="21"/>
      <c r="H60" s="21"/>
      <c r="I60" s="21"/>
      <c r="J60" s="21"/>
    </row>
    <row r="61" spans="1:42" x14ac:dyDescent="0.25">
      <c r="G61" s="21"/>
      <c r="H61" s="21"/>
    </row>
  </sheetData>
  <sheetProtection password="9BC9" sheet="1" objects="1" scenarios="1"/>
  <mergeCells count="62">
    <mergeCell ref="K15:L16"/>
    <mergeCell ref="H15:H18"/>
    <mergeCell ref="K50:K51"/>
    <mergeCell ref="L50:L51"/>
    <mergeCell ref="K17:L18"/>
    <mergeCell ref="J50:J51"/>
    <mergeCell ref="I15:J15"/>
    <mergeCell ref="I17:I18"/>
    <mergeCell ref="J17:J18"/>
    <mergeCell ref="I50:I51"/>
    <mergeCell ref="A53:D53"/>
    <mergeCell ref="G59:I59"/>
    <mergeCell ref="A54:D54"/>
    <mergeCell ref="A55:D56"/>
    <mergeCell ref="I55:J57"/>
    <mergeCell ref="A57:D57"/>
    <mergeCell ref="J52:J53"/>
    <mergeCell ref="I52:I53"/>
    <mergeCell ref="A51:D52"/>
    <mergeCell ref="F46:G46"/>
    <mergeCell ref="F47:G47"/>
    <mergeCell ref="F48:G48"/>
    <mergeCell ref="A50:D50"/>
    <mergeCell ref="F45:G45"/>
    <mergeCell ref="F42:G42"/>
    <mergeCell ref="F43:G43"/>
    <mergeCell ref="F34:G34"/>
    <mergeCell ref="F35:G35"/>
    <mergeCell ref="F36:G36"/>
    <mergeCell ref="F37:G37"/>
    <mergeCell ref="F38:G38"/>
    <mergeCell ref="F44:G44"/>
    <mergeCell ref="F33:G33"/>
    <mergeCell ref="F22:G22"/>
    <mergeCell ref="F23:G23"/>
    <mergeCell ref="F24:G24"/>
    <mergeCell ref="F25:G25"/>
    <mergeCell ref="F26:G26"/>
    <mergeCell ref="F27:G27"/>
    <mergeCell ref="F28:G28"/>
    <mergeCell ref="F29:G29"/>
    <mergeCell ref="F30:G30"/>
    <mergeCell ref="F31:G31"/>
    <mergeCell ref="F32:G32"/>
    <mergeCell ref="F39:G39"/>
    <mergeCell ref="F40:G40"/>
    <mergeCell ref="F41:G41"/>
    <mergeCell ref="F20:G20"/>
    <mergeCell ref="F21:G21"/>
    <mergeCell ref="A15:A18"/>
    <mergeCell ref="B15:B18"/>
    <mergeCell ref="C15:C18"/>
    <mergeCell ref="D15:D18"/>
    <mergeCell ref="E15:E18"/>
    <mergeCell ref="F15:G18"/>
    <mergeCell ref="F19:G19"/>
    <mergeCell ref="G1:J7"/>
    <mergeCell ref="A4:E6"/>
    <mergeCell ref="A11:B11"/>
    <mergeCell ref="A13:B13"/>
    <mergeCell ref="A1:E2"/>
    <mergeCell ref="A3:E3"/>
  </mergeCells>
  <phoneticPr fontId="0" type="noConversion"/>
  <conditionalFormatting sqref="C19:C48">
    <cfRule type="expression" dxfId="32" priority="7">
      <formula>ISTEXT($C19)</formula>
    </cfRule>
  </conditionalFormatting>
  <conditionalFormatting sqref="A19:L48">
    <cfRule type="expression" dxfId="31" priority="5">
      <formula>AND(ISTEXT($C19),$C19&lt;&gt;"Kinderkrankentag",$C19&lt;&gt;"Urlaub",$C19&lt;&gt;"Krank",$C19&lt;&gt;"Ausgleich")</formula>
    </cfRule>
  </conditionalFormatting>
  <conditionalFormatting sqref="D19:H48">
    <cfRule type="expression" dxfId="30" priority="4">
      <formula>AND(ISTEXT($C19),OR($C19="Kinderkrankentag",$C19="Urlaub",$C19="Krank",$C19="Ausgleich"))</formula>
    </cfRule>
  </conditionalFormatting>
  <conditionalFormatting sqref="D19:J48">
    <cfRule type="expression" dxfId="29" priority="3">
      <formula>AND(ISTEXT($C19),$C19&lt;&gt;"Kinderkrankentag",$C19&lt;&gt;"Urlaub",$C19&lt;&gt;"Krank",$C19&lt;&gt;"Ausgleich")</formula>
    </cfRule>
  </conditionalFormatting>
  <conditionalFormatting sqref="A19:A48 C19:L48">
    <cfRule type="expression" dxfId="28" priority="1">
      <formula>COUNT(SEARCH(Sonderarbeit,$N19))&gt;=1</formula>
    </cfRule>
  </conditionalFormatting>
  <conditionalFormatting sqref="F19:F48">
    <cfRule type="expression" dxfId="27" priority="11">
      <formula>AND(ISNONTEXT($C19),$F19 &gt; 0.666667)</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5" xr:uid="{2026F817-894B-4122-A7BD-318410280E11}">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0F5F54F6-3E49-45F3-97A3-B4AF5FFCB9B7}">
            <xm:f>AND($B19=Ref!$A$8, $H$56&gt;0.00001)</xm:f>
            <x14:dxf>
              <font>
                <b val="0"/>
                <i val="0"/>
                <color theme="1"/>
              </font>
            </x14:dxf>
          </x14:cfRule>
          <xm:sqref>C19:C48</xm:sqref>
        </x14:conditionalFormatting>
        <x14:conditionalFormatting xmlns:xm="http://schemas.microsoft.com/office/excel/2006/main">
          <x14:cfRule type="expression" priority="6" id="{74998B63-7A3B-4E06-985E-10CB10C554FD}">
            <xm:f>OR(AND($B19=Ref!$A$7,$H$55=0), AND($B19=Ref!$A$8,$H$56=0), NOT( ISERROR(FIND("feiertag",LOWER($C19)) ) ) )</xm:f>
            <x14:dxf>
              <fill>
                <patternFill patternType="solid">
                  <bgColor rgb="FF99CCFF"/>
                </patternFill>
              </fill>
            </x14:dxf>
          </x14:cfRule>
          <xm:sqref>A19:L48</xm:sqref>
        </x14:conditionalFormatting>
        <x14:conditionalFormatting xmlns:xm="http://schemas.microsoft.com/office/excel/2006/main">
          <x14:cfRule type="expression" priority="8" id="{79DCCB84-3977-46BD-A12D-7FC7F5F6D82B}">
            <xm:f>OR(AND($B19=Ref!$A$7, $H$55&lt;0.00001),AND($B19=Ref!$A$8, $H$56&lt;0.00001))</xm:f>
            <x14:dxf>
              <font>
                <color rgb="FF99CCFF"/>
              </font>
              <fill>
                <patternFill>
                  <bgColor rgb="FF99CCFF"/>
                </patternFill>
              </fill>
            </x14:dxf>
          </x14:cfRule>
          <xm:sqref>C19:J48</xm:sqref>
        </x14:conditionalFormatting>
        <x14:conditionalFormatting xmlns:xm="http://schemas.microsoft.com/office/excel/2006/main">
          <x14:cfRule type="expression" priority="9" id="{B262C1C2-E8C1-4482-A593-62A0D2C36A8A}">
            <xm:f>AND($B19=Ref!$A$7, $H$55&gt;0.00001)</xm:f>
            <x14:dxf>
              <font>
                <b val="0"/>
                <i val="0"/>
                <color theme="1"/>
              </font>
            </x14:dxf>
          </x14:cfRule>
          <xm:sqref>F19:G48</xm:sqref>
        </x14:conditionalFormatting>
        <x14:conditionalFormatting xmlns:xm="http://schemas.microsoft.com/office/excel/2006/main">
          <x14:cfRule type="expression" priority="2" id="{339686CC-0538-4A84-A4B0-184E36DE8B28}">
            <xm:f>AND(OR(AND($F19 &gt; 0.250001, $E19 &lt; 0.020833332), AND($F19 &gt; 0.375, $E19 &lt; 0.03124999)  ),OR(AND($B4&lt;&gt;Ref!$A$7, $B4&lt;&gt;Ref!$A$8),COUNT(SEARCH(Sonderarbeit,$N19))&gt;=1),ISNUMBER($C19))</xm:f>
            <x14:dxf>
              <fill>
                <patternFill>
                  <bgColor rgb="FFFF0000"/>
                </patternFill>
              </fill>
            </x14:dxf>
          </x14:cfRule>
          <xm:sqref>E19:E48</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49." xr:uid="{CD9E1E58-EC01-4B86-879A-D9F90FA57239}">
          <x14:formula1>
            <xm:f>NOT(OFFSET(C19,0,2-COLUMN(C19))=Ref!$A$7)</xm:f>
          </x14:formula1>
          <xm:sqref>C19:E48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pageSetUpPr fitToPage="1"/>
  </sheetPr>
  <dimension ref="A1:N62"/>
  <sheetViews>
    <sheetView zoomScaleNormal="100" workbookViewId="0">
      <selection activeCell="A4" sqref="A4:E6"/>
    </sheetView>
  </sheetViews>
  <sheetFormatPr defaultColWidth="11.54296875" defaultRowHeight="12.5" x14ac:dyDescent="0.25"/>
  <cols>
    <col min="1" max="1" width="5.54296875" style="4" customWidth="1"/>
    <col min="2" max="2" width="9.08984375" style="5" customWidth="1"/>
    <col min="3" max="3" width="9.54296875" style="5" customWidth="1"/>
    <col min="4" max="4" width="9.08984375" style="5" customWidth="1"/>
    <col min="5" max="5" width="8.54296875" style="2" customWidth="1"/>
    <col min="6" max="6" width="7.08984375" style="2" customWidth="1"/>
    <col min="7" max="7" width="3.1796875" style="2" customWidth="1"/>
    <col min="8" max="8" width="9.08984375" style="2" customWidth="1"/>
    <col min="9" max="9" width="9.90625" style="2" customWidth="1"/>
    <col min="10" max="10" width="10.36328125" style="2" customWidth="1"/>
    <col min="11" max="11" width="2.90625" style="2" customWidth="1"/>
    <col min="12" max="12" width="8.90625" style="2" customWidth="1"/>
    <col min="13" max="13" width="16.36328125" style="177" customWidth="1"/>
    <col min="14" max="14" width="18.1796875" style="178" customWidth="1"/>
    <col min="15" max="16384" width="11.54296875" style="2"/>
  </cols>
  <sheetData>
    <row r="1" spans="1:14" ht="15.5" x14ac:dyDescent="0.35">
      <c r="A1" s="289" t="s">
        <v>53</v>
      </c>
      <c r="B1" s="289"/>
      <c r="C1" s="289"/>
      <c r="D1" s="289"/>
      <c r="E1" s="289"/>
      <c r="F1" s="1"/>
      <c r="G1" s="277" t="s">
        <v>9</v>
      </c>
      <c r="H1" s="277"/>
      <c r="I1" s="277"/>
      <c r="J1" s="277"/>
    </row>
    <row r="2" spans="1:14" ht="15.5" x14ac:dyDescent="0.35">
      <c r="A2" s="289"/>
      <c r="B2" s="289"/>
      <c r="C2" s="289"/>
      <c r="D2" s="289"/>
      <c r="E2" s="289"/>
      <c r="F2" s="3"/>
      <c r="G2" s="277"/>
      <c r="H2" s="277"/>
      <c r="I2" s="277"/>
      <c r="J2" s="277"/>
    </row>
    <row r="3" spans="1:14" ht="13" x14ac:dyDescent="0.3">
      <c r="A3" s="288" t="s">
        <v>11</v>
      </c>
      <c r="B3" s="288"/>
      <c r="C3" s="288"/>
      <c r="D3" s="288"/>
      <c r="E3" s="288"/>
      <c r="G3" s="277"/>
      <c r="H3" s="277"/>
      <c r="I3" s="277"/>
      <c r="J3" s="277"/>
    </row>
    <row r="4" spans="1:14" ht="13.25" customHeight="1" x14ac:dyDescent="0.25">
      <c r="A4" s="278" t="s">
        <v>5</v>
      </c>
      <c r="B4" s="278"/>
      <c r="C4" s="278"/>
      <c r="D4" s="278"/>
      <c r="E4" s="278"/>
      <c r="F4" s="6"/>
      <c r="G4" s="277"/>
      <c r="H4" s="277"/>
      <c r="I4" s="277"/>
      <c r="J4" s="277"/>
    </row>
    <row r="5" spans="1:14" ht="6" customHeight="1" x14ac:dyDescent="0.25">
      <c r="A5" s="278"/>
      <c r="B5" s="278"/>
      <c r="C5" s="278"/>
      <c r="D5" s="278"/>
      <c r="E5" s="278"/>
      <c r="F5" s="6"/>
      <c r="G5" s="277"/>
      <c r="H5" s="277"/>
      <c r="I5" s="277"/>
      <c r="J5" s="277"/>
    </row>
    <row r="6" spans="1:14" ht="13.25" customHeight="1" x14ac:dyDescent="0.25">
      <c r="A6" s="278"/>
      <c r="B6" s="278"/>
      <c r="C6" s="278"/>
      <c r="D6" s="278"/>
      <c r="E6" s="278"/>
      <c r="F6" s="6"/>
      <c r="G6" s="277"/>
      <c r="H6" s="277"/>
      <c r="I6" s="277"/>
      <c r="J6" s="277"/>
    </row>
    <row r="7" spans="1:14" ht="13.25" customHeight="1" x14ac:dyDescent="0.25">
      <c r="A7" s="6"/>
      <c r="B7" s="6"/>
      <c r="C7" s="6"/>
      <c r="D7" s="6"/>
      <c r="E7" s="6"/>
      <c r="F7" s="6"/>
      <c r="G7" s="277"/>
      <c r="H7" s="277"/>
      <c r="I7" s="277"/>
      <c r="J7" s="277"/>
    </row>
    <row r="8" spans="1:14" ht="6" customHeight="1" thickBot="1" x14ac:dyDescent="0.3">
      <c r="A8" s="7"/>
      <c r="B8" s="8"/>
      <c r="C8" s="8"/>
      <c r="D8" s="8"/>
      <c r="E8" s="9"/>
      <c r="F8" s="9"/>
      <c r="G8" s="9"/>
      <c r="H8" s="9"/>
      <c r="I8" s="10"/>
      <c r="J8" s="10"/>
      <c r="K8" s="11"/>
      <c r="L8" s="12"/>
    </row>
    <row r="9" spans="1:14" ht="6" customHeight="1" x14ac:dyDescent="0.25">
      <c r="A9" s="13"/>
      <c r="B9" s="14"/>
      <c r="C9" s="14"/>
      <c r="D9" s="14"/>
      <c r="E9" s="15"/>
      <c r="F9" s="15"/>
      <c r="G9" s="15"/>
      <c r="H9" s="15"/>
      <c r="I9" s="16"/>
      <c r="J9" s="16"/>
      <c r="K9" s="17"/>
      <c r="L9" s="18"/>
    </row>
    <row r="10" spans="1:14" ht="13" x14ac:dyDescent="0.3">
      <c r="A10" s="119"/>
      <c r="B10" s="120"/>
      <c r="C10" s="120"/>
      <c r="D10" s="120"/>
      <c r="E10" s="121"/>
      <c r="F10" s="121"/>
      <c r="G10" s="121"/>
      <c r="H10" s="105"/>
      <c r="I10" s="122"/>
      <c r="J10" s="122"/>
      <c r="K10" s="123"/>
      <c r="L10" s="124"/>
    </row>
    <row r="11" spans="1:14" ht="13" x14ac:dyDescent="0.3">
      <c r="A11" s="290" t="s">
        <v>6</v>
      </c>
      <c r="B11" s="290"/>
      <c r="C11" s="125" t="str">
        <f>Jun!C11</f>
        <v>ATHENE, Pallas</v>
      </c>
      <c r="D11" s="126"/>
      <c r="E11" s="127"/>
      <c r="F11" s="128"/>
      <c r="G11" s="128" t="s">
        <v>8</v>
      </c>
      <c r="H11" s="129"/>
      <c r="I11" s="130">
        <f>DATE(J11,7,1)</f>
        <v>45839</v>
      </c>
      <c r="J11" s="131">
        <f>Jan!J11</f>
        <v>2025</v>
      </c>
      <c r="K11" s="132"/>
      <c r="L11" s="133"/>
    </row>
    <row r="12" spans="1:14" ht="13" x14ac:dyDescent="0.3">
      <c r="A12" s="134"/>
      <c r="B12" s="124"/>
      <c r="C12" s="135"/>
      <c r="D12" s="136"/>
      <c r="E12" s="128"/>
      <c r="F12" s="128"/>
      <c r="G12" s="121"/>
      <c r="H12" s="105"/>
      <c r="I12" s="122"/>
      <c r="J12" s="122"/>
      <c r="K12" s="123"/>
      <c r="L12" s="124"/>
    </row>
    <row r="13" spans="1:14" ht="13" x14ac:dyDescent="0.3">
      <c r="A13" s="290" t="s">
        <v>7</v>
      </c>
      <c r="B13" s="290"/>
      <c r="C13" s="125" t="str">
        <f>Jun!C13</f>
        <v>Geschäftsstelle</v>
      </c>
      <c r="D13" s="139"/>
      <c r="E13" s="127"/>
      <c r="F13" s="140"/>
      <c r="G13" s="140"/>
      <c r="H13" s="129"/>
      <c r="I13" s="126"/>
      <c r="J13" s="127"/>
      <c r="K13" s="132"/>
      <c r="L13" s="133"/>
    </row>
    <row r="14" spans="1:14" ht="13.5" thickBot="1" x14ac:dyDescent="0.35">
      <c r="A14" s="134"/>
      <c r="B14" s="141"/>
      <c r="C14" s="141"/>
      <c r="D14" s="141"/>
      <c r="E14" s="105"/>
      <c r="F14" s="105"/>
      <c r="G14" s="105"/>
      <c r="H14" s="105"/>
      <c r="I14" s="105"/>
      <c r="J14" s="105"/>
      <c r="K14" s="123"/>
      <c r="L14" s="124"/>
    </row>
    <row r="15" spans="1:14" ht="13.25" customHeight="1" x14ac:dyDescent="0.25">
      <c r="A15" s="282"/>
      <c r="B15" s="282" t="s">
        <v>14</v>
      </c>
      <c r="C15" s="282" t="s">
        <v>18</v>
      </c>
      <c r="D15" s="282" t="s">
        <v>19</v>
      </c>
      <c r="E15" s="282" t="s">
        <v>16</v>
      </c>
      <c r="F15" s="283" t="s">
        <v>44</v>
      </c>
      <c r="G15" s="283"/>
      <c r="H15" s="279" t="s">
        <v>45</v>
      </c>
      <c r="I15" s="285" t="s">
        <v>0</v>
      </c>
      <c r="J15" s="285"/>
      <c r="K15" s="244" t="s">
        <v>43</v>
      </c>
      <c r="L15" s="245"/>
    </row>
    <row r="16" spans="1:14" ht="13" thickBot="1" x14ac:dyDescent="0.3">
      <c r="A16" s="282"/>
      <c r="B16" s="282"/>
      <c r="C16" s="282"/>
      <c r="D16" s="282"/>
      <c r="E16" s="282"/>
      <c r="F16" s="283"/>
      <c r="G16" s="283"/>
      <c r="H16" s="280"/>
      <c r="I16" s="84" t="s">
        <v>1</v>
      </c>
      <c r="J16" s="84" t="s">
        <v>2</v>
      </c>
      <c r="K16" s="246"/>
      <c r="L16" s="247"/>
      <c r="N16" s="179"/>
    </row>
    <row r="17" spans="1:14" ht="13" thickBot="1" x14ac:dyDescent="0.3">
      <c r="A17" s="282"/>
      <c r="B17" s="282"/>
      <c r="C17" s="282"/>
      <c r="D17" s="282"/>
      <c r="E17" s="282"/>
      <c r="F17" s="283"/>
      <c r="G17" s="283"/>
      <c r="H17" s="280"/>
      <c r="I17" s="286">
        <f>IF(Mantelbogen!D26=I11,Mantelbogen!C28,Jun!I52)</f>
        <v>0.52083333333333426</v>
      </c>
      <c r="J17" s="287" t="str">
        <f>IF(Mantelbogen!D26=I11,Mantelbogen!D28,Jun!J52)</f>
        <v/>
      </c>
      <c r="K17" s="248" t="str">
        <f>IF(I17/H58 &gt; 1, I17/H58, " " )</f>
        <v xml:space="preserve"> </v>
      </c>
      <c r="L17" s="249"/>
      <c r="N17" s="180"/>
    </row>
    <row r="18" spans="1:14" ht="13" thickBot="1" x14ac:dyDescent="0.3">
      <c r="A18" s="282"/>
      <c r="B18" s="282"/>
      <c r="C18" s="282"/>
      <c r="D18" s="282"/>
      <c r="E18" s="282"/>
      <c r="F18" s="283"/>
      <c r="G18" s="283"/>
      <c r="H18" s="281"/>
      <c r="I18" s="286"/>
      <c r="J18" s="287"/>
      <c r="K18" s="250"/>
      <c r="L18" s="251"/>
      <c r="N18" s="180"/>
    </row>
    <row r="19" spans="1:14" ht="17.399999999999999" customHeight="1" x14ac:dyDescent="0.55000000000000004">
      <c r="A19" s="86">
        <v>1</v>
      </c>
      <c r="B19" s="85" t="str">
        <f>TEXT(DATE(J$11,MONTH(I$11),A19),Textcode)</f>
        <v>Dienstag</v>
      </c>
      <c r="C19" s="87">
        <v>0.35416666666666669</v>
      </c>
      <c r="D19" s="213">
        <f t="array" ref="D19">IF(AND(COUNT(SEARCH(Sonderarbeit,$N19,1))&gt;=1,$B19=Ref!$A$7),Ref!$K$1,Ref!$K$2)</f>
        <v>0.70833333333333337</v>
      </c>
      <c r="E19" s="213">
        <f t="array" ref="E19">IF(AND(COUNT(SEARCH(Sonderarbeit,$N19))&gt;=1,$B19=Ref!$A$7),,Ref!$K$3)</f>
        <v>2.0833333333333332E-2</v>
      </c>
      <c r="F19" s="270">
        <f>IF(ISTEXT(C19),,D19-C19-E19)</f>
        <v>0.33333333333333337</v>
      </c>
      <c r="G19" s="271"/>
      <c r="H19" s="88">
        <f t="shared" ref="H19:H23" si="0">IF(AND(ISTEXT(C19),ISERR(SEARCH("ausgleich",C19,1))),,INDEX(H$51:H$58,WEEKDAY(DATE(J$11,MONTH(I$11),A19),2),1,1))</f>
        <v>0.33333333333333331</v>
      </c>
      <c r="I19" s="89" t="str">
        <f>IF(AND(F19&gt;H19,OR(AND(OR($B19&lt;&gt;Ref!$A$7,$H$56&gt;0),OR($B19&lt;&gt;Ref!$A$8,$H$57&gt;0)),COUNT(SEARCH(Sonderarbeit,$N19))&gt;=1),ISNONTEXT(C19),C19&lt;&gt;""),F19-H19,"")</f>
        <v/>
      </c>
      <c r="J19" s="90" t="str">
        <f>IF(OR(AND(F19&lt;H19,OR(AND(OR($B19&lt;&gt;Ref!$A$7,$H$56&gt;0),OR($B19&lt;&gt;Ref!$A$8,$H$57&gt;0)),COUNT(SEARCH(Sonderarbeit,$N19))&gt;=1)),C19="Ausgleich"),H19-F19,"")</f>
        <v/>
      </c>
      <c r="K19" s="170" t="str">
        <f>IF(AND(B19=Ref!$A$8,SUM(I19:I19)&lt;SUM(J19:J19)),"-","")</f>
        <v/>
      </c>
      <c r="L19" s="171" t="str">
        <f>IF(B19=Ref!$A$8,ABS(SUM(I19:I19)-SUM(J19:J19)),"")</f>
        <v/>
      </c>
      <c r="M19" s="181"/>
      <c r="N19" s="181"/>
    </row>
    <row r="20" spans="1:14" ht="17.399999999999999" customHeight="1" x14ac:dyDescent="0.55000000000000004">
      <c r="A20" s="86">
        <v>2</v>
      </c>
      <c r="B20" s="85" t="str">
        <f t="shared" ref="B20:B49" si="1">TEXT(DATE(J$11,MONTH(I$11),A20),Textcode)</f>
        <v>Mittwoch</v>
      </c>
      <c r="C20" s="87">
        <v>0.35416666666666669</v>
      </c>
      <c r="D20" s="213">
        <f t="array" ref="D20">IF(AND(COUNT(SEARCH(Sonderarbeit,$N20,1))&gt;=1,$B20=Ref!$A$7),Ref!$K$1,Ref!$K$2)</f>
        <v>0.70833333333333337</v>
      </c>
      <c r="E20" s="213">
        <f t="array" ref="E20">IF(AND(COUNT(SEARCH(Sonderarbeit,$N20))&gt;=1,$B20=Ref!$A$7),,Ref!$K$3)</f>
        <v>2.0833333333333332E-2</v>
      </c>
      <c r="F20" s="270">
        <f>IF(ISTEXT(C20),,D20-C20-E20)</f>
        <v>0.33333333333333337</v>
      </c>
      <c r="G20" s="271"/>
      <c r="H20" s="88">
        <f t="shared" si="0"/>
        <v>0.33333333333333331</v>
      </c>
      <c r="I20" s="89" t="str">
        <f>IF(AND(F20&gt;H20,OR(AND(OR($B20&lt;&gt;Ref!$A$7,$H$56&gt;0),OR($B20&lt;&gt;Ref!$A$8,$H$57&gt;0)),COUNT(SEARCH(Sonderarbeit,$N20))&gt;=1),ISNONTEXT(C20),C20&lt;&gt;""),F20-H20,"")</f>
        <v/>
      </c>
      <c r="J20" s="90" t="str">
        <f>IF(OR(AND(F20&lt;H20,OR(AND(OR($B20&lt;&gt;Ref!$A$7,$H$56&gt;0),OR($B20&lt;&gt;Ref!$A$8,$H$57&gt;0)),COUNT(SEARCH(Sonderarbeit,$N20))&gt;=1)),C20="Ausgleich"),H20-F20,"")</f>
        <v/>
      </c>
      <c r="K20" s="91" t="str">
        <f>IF(AND(B20=Ref!$A$8,SUM(I19:I20)&lt;SUM(J19:J20)),"-","")</f>
        <v/>
      </c>
      <c r="L20" s="92" t="str">
        <f>IF(B20=Ref!$A$8,ABS(SUM(I19:I20)-SUM(J19:J20)),"")</f>
        <v/>
      </c>
      <c r="N20" s="181"/>
    </row>
    <row r="21" spans="1:14" ht="17.399999999999999" customHeight="1" x14ac:dyDescent="0.55000000000000004">
      <c r="A21" s="93">
        <v>3</v>
      </c>
      <c r="B21" s="85" t="str">
        <f t="shared" si="1"/>
        <v>Donnerstag</v>
      </c>
      <c r="C21" s="87">
        <v>0.35416666666666669</v>
      </c>
      <c r="D21" s="213">
        <f t="array" ref="D21">IF(AND(COUNT(SEARCH(Sonderarbeit,$N21,1))&gt;=1,$B21=Ref!$A$7),Ref!$K$1,Ref!$K$2)</f>
        <v>0.70833333333333337</v>
      </c>
      <c r="E21" s="213">
        <f t="array" ref="E21">IF(AND(COUNT(SEARCH(Sonderarbeit,$N21))&gt;=1,$B21=Ref!$A$7),,Ref!$K$3)</f>
        <v>2.0833333333333332E-2</v>
      </c>
      <c r="F21" s="270">
        <f t="shared" ref="F21:F49" si="2">IF(ISTEXT(C21),,D21-C21-E21)</f>
        <v>0.33333333333333337</v>
      </c>
      <c r="G21" s="271"/>
      <c r="H21" s="88">
        <f t="shared" si="0"/>
        <v>0.33333333333333331</v>
      </c>
      <c r="I21" s="89" t="str">
        <f>IF(AND(F21&gt;H21,OR(AND(OR($B21&lt;&gt;Ref!$A$7,$H$56&gt;0),OR($B21&lt;&gt;Ref!$A$8,$H$57&gt;0)),COUNT(SEARCH(Sonderarbeit,$N21))&gt;=1),ISNONTEXT(C21),C21&lt;&gt;""),F21-H21,"")</f>
        <v/>
      </c>
      <c r="J21" s="90" t="str">
        <f>IF(OR(AND(F21&lt;H21,OR(AND(OR($B21&lt;&gt;Ref!$A$7,$H$56&gt;0),OR($B21&lt;&gt;Ref!$A$8,$H$57&gt;0)),COUNT(SEARCH(Sonderarbeit,$N21))&gt;=1)),C21="Ausgleich"),H21-F21,"")</f>
        <v/>
      </c>
      <c r="K21" s="91" t="str">
        <f>IF(AND(B21=Ref!$A$8,SUM(I19:I21)&lt;SUM(J19:J21)),"-","")</f>
        <v/>
      </c>
      <c r="L21" s="92" t="str">
        <f>IF(B21=Ref!$A$8,ABS(SUM(I19:I21)-SUM(J19:J21)),"")</f>
        <v/>
      </c>
      <c r="N21" s="181"/>
    </row>
    <row r="22" spans="1:14" ht="17.399999999999999" customHeight="1" x14ac:dyDescent="0.55000000000000004">
      <c r="A22" s="94">
        <v>4</v>
      </c>
      <c r="B22" s="85" t="str">
        <f t="shared" si="1"/>
        <v>Freitag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0.3125</v>
      </c>
      <c r="I22" s="89">
        <f>IF(AND(F22&gt;H22,OR(AND(OR($B22&lt;&gt;Ref!$A$7,$H$56&gt;0),OR($B22&lt;&gt;Ref!$A$8,$H$57&gt;0)),COUNT(SEARCH(Sonderarbeit,$N22))&gt;=1),ISNONTEXT(C22),C22&lt;&gt;""),F22-H22,"")</f>
        <v>2.083333333333337E-2</v>
      </c>
      <c r="J22" s="90" t="str">
        <f>IF(OR(AND(F22&lt;H22,OR(AND(OR($B22&lt;&gt;Ref!$A$7,$H$56&gt;0),OR($B22&lt;&gt;Ref!$A$8,$H$57&gt;0)),COUNT(SEARCH(Sonderarbeit,$N22))&gt;=1)),C22="Ausgleich"),H22-F22,"")</f>
        <v/>
      </c>
      <c r="K22" s="91" t="str">
        <f>IF(AND(B22=Ref!$A$8,SUM(I19:I22)&lt;SUM(J19:J22)),"-","")</f>
        <v/>
      </c>
      <c r="L22" s="92" t="str">
        <f>IF(B22=Ref!$A$8,ABS(SUM(I19:I22)-SUM(J19:J22)),"")</f>
        <v/>
      </c>
    </row>
    <row r="23" spans="1:14" ht="17.399999999999999" customHeight="1" x14ac:dyDescent="0.55000000000000004">
      <c r="A23" s="94">
        <v>5</v>
      </c>
      <c r="B23" s="85" t="str">
        <f t="shared" si="1"/>
        <v>Samstag</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v>
      </c>
      <c r="I23" s="89" t="str">
        <f>IF(AND(F23&gt;H23,OR(AND(OR($B23&lt;&gt;Ref!$A$7,$H$56&gt;0),OR($B23&lt;&gt;Ref!$A$8,$H$57&gt;0)),COUNT(SEARCH(Sonderarbeit,$N23))&gt;=1),ISNONTEXT(C23),C23&lt;&gt;""),F23-H23,"")</f>
        <v/>
      </c>
      <c r="J23" s="90" t="str">
        <f>IF(OR(AND(F23&lt;H23,OR(AND(OR($B23&lt;&gt;Ref!$A$7,$H$56&gt;0),OR($B23&lt;&gt;Ref!$A$8,$H$57&gt;0)),COUNT(SEARCH(Sonderarbeit,$N23))&gt;=1)),C23="Ausgleich"),H23-F23,"")</f>
        <v/>
      </c>
      <c r="K23" s="91" t="str">
        <f>IF(AND(B23=Ref!$A$8,SUM(I19:I23)&lt;SUM(J19:J23)),"-","")</f>
        <v/>
      </c>
      <c r="L23" s="92" t="str">
        <f>IF(B23=Ref!$A$8,ABS(SUM(I19:I23)-SUM(J19:J23)),"")</f>
        <v/>
      </c>
      <c r="N23" s="181"/>
    </row>
    <row r="24" spans="1:14" ht="17.399999999999999" customHeight="1" x14ac:dyDescent="0.55000000000000004">
      <c r="A24" s="86">
        <v>6</v>
      </c>
      <c r="B24" s="85" t="str">
        <f t="shared" si="1"/>
        <v>Sonntag</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IF(AND(ISTEXT(C24),ISERR(SEARCH("ausgleich",C24,1))),,INDEX(H$51:H$58,WEEKDAY(DATE(J$11,MONTH(I$11),A24),2),1,1))</f>
        <v>0</v>
      </c>
      <c r="I24" s="89" t="str">
        <f>IF(AND(F24&gt;H24,OR(AND(OR($B24&lt;&gt;Ref!$A$7,$H$56&gt;0),OR($B24&lt;&gt;Ref!$A$8,$H$57&gt;0)),COUNT(SEARCH(Sonderarbeit,$N24))&gt;=1),ISNONTEXT(C24),C24&lt;&gt;""),F24-H24,"")</f>
        <v/>
      </c>
      <c r="J24" s="90" t="str">
        <f>IF(OR(AND(F24&lt;H24,OR(AND(OR($B24&lt;&gt;Ref!$A$7,$H$56&gt;0),OR($B24&lt;&gt;Ref!$A$8,$H$57&gt;0)),COUNT(SEARCH(Sonderarbeit,$N24))&gt;=1)),C24="Ausgleich"),H24-F24,"")</f>
        <v/>
      </c>
      <c r="K24" s="91" t="str">
        <f>IF(AND(B24=Ref!$A$8,SUM(I19:I24)&lt;SUM(J19:J24)),"-","")</f>
        <v/>
      </c>
      <c r="L24" s="92">
        <f>IF(B24=Ref!$A$8,ABS(SUM(I19:I24)-SUM(J19:J24)),"")</f>
        <v>2.083333333333337E-2</v>
      </c>
      <c r="N24" s="181"/>
    </row>
    <row r="25" spans="1:14" ht="17.399999999999999" customHeight="1" x14ac:dyDescent="0.55000000000000004">
      <c r="A25" s="94">
        <v>7</v>
      </c>
      <c r="B25" s="85" t="str">
        <f t="shared" si="1"/>
        <v>Montag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ref="H25:H49" si="3">IF(AND(ISTEXT(C25),ISERR(SEARCH("ausgleich",C25,1))),,INDEX(H$51:H$58,WEEKDAY(DATE(J$11,MONTH(I$11),A25),2),1,1))</f>
        <v>0.33333333333333331</v>
      </c>
      <c r="I25" s="89" t="str">
        <f>IF(AND(F25&gt;H25,OR(AND(OR($B25&lt;&gt;Ref!$A$7,$H$56&gt;0),OR($B25&lt;&gt;Ref!$A$8,$H$57&gt;0)),COUNT(SEARCH(Sonderarbeit,$N25))&gt;=1),ISNONTEXT(C25),C25&lt;&gt;""),F25-H25,"")</f>
        <v/>
      </c>
      <c r="J25" s="90" t="str">
        <f>IF(OR(AND(F25&lt;H25,OR(AND(OR($B25&lt;&gt;Ref!$A$7,$H$56&gt;0),OR($B25&lt;&gt;Ref!$A$8,$H$57&gt;0)),COUNT(SEARCH(Sonderarbeit,$N25))&gt;=1)),C25="Ausgleich"),H25-F25,"")</f>
        <v/>
      </c>
      <c r="K25" s="91" t="str">
        <f>IF(AND(B25=Ref!$A$8,SUM(I19:I25)&lt;SUM(J19:J25)),"-","")</f>
        <v/>
      </c>
      <c r="L25" s="92" t="str">
        <f>IF(B25=Ref!$A$8,ABS(SUM(I19:I25)-SUM(J19:J25)),"")</f>
        <v/>
      </c>
      <c r="N25" s="181"/>
    </row>
    <row r="26" spans="1:14" ht="17.399999999999999" customHeight="1" x14ac:dyDescent="0.55000000000000004">
      <c r="A26" s="94">
        <v>8</v>
      </c>
      <c r="B26" s="85" t="str">
        <f t="shared" si="1"/>
        <v>Dienstag</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3"/>
        <v>0.33333333333333331</v>
      </c>
      <c r="I26" s="89" t="str">
        <f>IF(AND(F26&gt;H26,OR(AND(OR($B26&lt;&gt;Ref!$A$7,$H$56&gt;0),OR($B26&lt;&gt;Ref!$A$8,$H$57&gt;0)),COUNT(SEARCH(Sonderarbeit,$N26))&gt;=1),ISNONTEXT(C26),C26&lt;&gt;""),F26-H26,"")</f>
        <v/>
      </c>
      <c r="J26" s="90" t="str">
        <f>IF(OR(AND(F26&lt;H26,OR(AND(OR($B26&lt;&gt;Ref!$A$7,$H$56&gt;0),OR($B26&lt;&gt;Ref!$A$8,$H$57&gt;0)),COUNT(SEARCH(Sonderarbeit,$N26))&gt;=1)),C26="Ausgleich"),H26-F26,"")</f>
        <v/>
      </c>
      <c r="K26" s="91" t="str">
        <f>IF(AND(B26=Ref!$A$8,SUM(I20:I26)&lt;SUM(J20:J26)),"-","")</f>
        <v/>
      </c>
      <c r="L26" s="92" t="str">
        <f>IF(B26=Ref!$A$8,ABS(SUM(I20:I26)-SUM(J20:J26)),"")</f>
        <v/>
      </c>
      <c r="N26" s="181"/>
    </row>
    <row r="27" spans="1:14" ht="17.399999999999999" customHeight="1" x14ac:dyDescent="0.55000000000000004">
      <c r="A27" s="86">
        <v>9</v>
      </c>
      <c r="B27" s="85" t="str">
        <f t="shared" si="1"/>
        <v>Mittwoch</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3"/>
        <v>0.33333333333333331</v>
      </c>
      <c r="I27" s="89" t="str">
        <f>IF(AND(F27&gt;H27,OR(AND(OR($B27&lt;&gt;Ref!$A$7,$H$56&gt;0),OR($B27&lt;&gt;Ref!$A$8,$H$57&gt;0)),COUNT(SEARCH(Sonderarbeit,$N27))&gt;=1),ISNONTEXT(C27),C27&lt;&gt;""),F27-H27,"")</f>
        <v/>
      </c>
      <c r="J27" s="90" t="str">
        <f>IF(OR(AND(F27&lt;H27,OR(AND(OR($B27&lt;&gt;Ref!$A$7,$H$56&gt;0),OR($B27&lt;&gt;Ref!$A$8,$H$57&gt;0)),COUNT(SEARCH(Sonderarbeit,$N27))&gt;=1)),C27="Ausgleich"),H27-F27,"")</f>
        <v/>
      </c>
      <c r="K27" s="91" t="str">
        <f>IF(AND(B27=Ref!$A$8,SUM(I21:I27)&lt;SUM(J21:J27)),"-","")</f>
        <v/>
      </c>
      <c r="L27" s="92" t="str">
        <f>IF(B27=Ref!$A$8,ABS(SUM(I21:I27)-SUM(J21:J27)),"")</f>
        <v/>
      </c>
      <c r="N27" s="181"/>
    </row>
    <row r="28" spans="1:14" ht="17.399999999999999" customHeight="1" x14ac:dyDescent="0.55000000000000004">
      <c r="A28" s="86">
        <v>10</v>
      </c>
      <c r="B28" s="85" t="str">
        <f t="shared" si="1"/>
        <v>Donnerstag</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3"/>
        <v>0.33333333333333331</v>
      </c>
      <c r="I28" s="89" t="str">
        <f>IF(AND(F28&gt;H28,OR(AND(OR($B28&lt;&gt;Ref!$A$7,$H$56&gt;0),OR($B28&lt;&gt;Ref!$A$8,$H$57&gt;0)),COUNT(SEARCH(Sonderarbeit,$N28))&gt;=1),ISNONTEXT(C28),C28&lt;&gt;""),F28-H28,"")</f>
        <v/>
      </c>
      <c r="J28" s="90" t="str">
        <f>IF(OR(AND(F28&lt;H28,OR(AND(OR($B28&lt;&gt;Ref!$A$7,$H$56&gt;0),OR($B28&lt;&gt;Ref!$A$8,$H$57&gt;0)),COUNT(SEARCH(Sonderarbeit,$N28))&gt;=1)),C28="Ausgleich"),H28-F28,"")</f>
        <v/>
      </c>
      <c r="K28" s="91" t="str">
        <f>IF(AND(B28=Ref!$A$8,SUM(I22:I28)&lt;SUM(J22:J28)),"-","")</f>
        <v/>
      </c>
      <c r="L28" s="92" t="str">
        <f>IF(B28=Ref!$A$8,ABS(SUM(I22:I28)-SUM(J22:J28)),"")</f>
        <v/>
      </c>
      <c r="N28" s="181"/>
    </row>
    <row r="29" spans="1:14" ht="17.399999999999999" customHeight="1" x14ac:dyDescent="0.55000000000000004">
      <c r="A29" s="94">
        <v>11</v>
      </c>
      <c r="B29" s="85" t="str">
        <f t="shared" si="1"/>
        <v>Freitag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3"/>
        <v>0.3125</v>
      </c>
      <c r="I29" s="89">
        <f>IF(AND(F29&gt;H29,OR(AND(OR($B29&lt;&gt;Ref!$A$7,$H$56&gt;0),OR($B29&lt;&gt;Ref!$A$8,$H$57&gt;0)),COUNT(SEARCH(Sonderarbeit,$N29))&gt;=1),ISNONTEXT(C29),C29&lt;&gt;""),F29-H29,"")</f>
        <v>2.083333333333337E-2</v>
      </c>
      <c r="J29" s="90" t="str">
        <f>IF(OR(AND(F29&lt;H29,OR(AND(OR($B29&lt;&gt;Ref!$A$7,$H$56&gt;0),OR($B29&lt;&gt;Ref!$A$8,$H$57&gt;0)),COUNT(SEARCH(Sonderarbeit,$N29))&gt;=1)),C29="Ausgleich"),H29-F29,"")</f>
        <v/>
      </c>
      <c r="K29" s="91" t="str">
        <f>IF(AND(B29=Ref!$A$8,SUM(I23:I29)&lt;SUM(J23:J29)),"-","")</f>
        <v/>
      </c>
      <c r="L29" s="92" t="str">
        <f>IF(B29=Ref!$A$8,ABS(SUM(I23:I29)-SUM(J23:J29)),"")</f>
        <v/>
      </c>
      <c r="N29" s="181"/>
    </row>
    <row r="30" spans="1:14" ht="17.399999999999999" customHeight="1" x14ac:dyDescent="0.55000000000000004">
      <c r="A30" s="94">
        <v>12</v>
      </c>
      <c r="B30" s="85" t="str">
        <f t="shared" si="1"/>
        <v>Samstag</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3"/>
        <v>0</v>
      </c>
      <c r="I30" s="89" t="str">
        <f>IF(AND(F30&gt;H30,OR(AND(OR($B30&lt;&gt;Ref!$A$7,$H$56&gt;0),OR($B30&lt;&gt;Ref!$A$8,$H$57&gt;0)),COUNT(SEARCH(Sonderarbeit,$N30))&gt;=1),ISNONTEXT(C30),C30&lt;&gt;""),F30-H30,"")</f>
        <v/>
      </c>
      <c r="J30" s="90" t="str">
        <f>IF(OR(AND(F30&lt;H30,OR(AND(OR($B30&lt;&gt;Ref!$A$7,$H$56&gt;0),OR($B30&lt;&gt;Ref!$A$8,$H$57&gt;0)),COUNT(SEARCH(Sonderarbeit,$N30))&gt;=1)),C30="Ausgleich"),H30-F30,"")</f>
        <v/>
      </c>
      <c r="K30" s="91" t="str">
        <f>IF(AND(B30=Ref!$A$8,SUM(I24:I30)&lt;SUM(J24:J30)),"-","")</f>
        <v/>
      </c>
      <c r="L30" s="92" t="str">
        <f>IF(B30=Ref!$A$8,ABS(SUM(I24:I30)-SUM(J24:J30)),"")</f>
        <v/>
      </c>
      <c r="N30" s="181"/>
    </row>
    <row r="31" spans="1:14" ht="17.399999999999999" customHeight="1" x14ac:dyDescent="0.55000000000000004">
      <c r="A31" s="94">
        <v>13</v>
      </c>
      <c r="B31" s="85" t="str">
        <f t="shared" si="1"/>
        <v>Sonntag</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3"/>
        <v>0</v>
      </c>
      <c r="I31" s="89" t="str">
        <f>IF(AND(F31&gt;H31,OR(AND(OR($B31&lt;&gt;Ref!$A$7,$H$56&gt;0),OR($B31&lt;&gt;Ref!$A$8,$H$57&gt;0)),COUNT(SEARCH(Sonderarbeit,$N31))&gt;=1),ISNONTEXT(C31),C31&lt;&gt;""),F31-H31,"")</f>
        <v/>
      </c>
      <c r="J31" s="90" t="str">
        <f>IF(OR(AND(F31&lt;H31,OR(AND(OR($B31&lt;&gt;Ref!$A$7,$H$56&gt;0),OR($B31&lt;&gt;Ref!$A$8,$H$57&gt;0)),COUNT(SEARCH(Sonderarbeit,$N31))&gt;=1)),C31="Ausgleich"),H31-F31,"")</f>
        <v/>
      </c>
      <c r="K31" s="91" t="str">
        <f>IF(AND(B31=Ref!$A$8,SUM(I25:I31)&lt;SUM(J25:J31)),"-","")</f>
        <v/>
      </c>
      <c r="L31" s="92">
        <f>IF(B31=Ref!$A$8,ABS(SUM(I25:I31)-SUM(J25:J31)),"")</f>
        <v>2.083333333333337E-2</v>
      </c>
      <c r="N31" s="181"/>
    </row>
    <row r="32" spans="1:14" ht="17.399999999999999" customHeight="1" x14ac:dyDescent="0.55000000000000004">
      <c r="A32" s="94">
        <v>14</v>
      </c>
      <c r="B32" s="85" t="str">
        <f t="shared" si="1"/>
        <v>Montag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3"/>
        <v>0.33333333333333331</v>
      </c>
      <c r="I32" s="89" t="str">
        <f>IF(AND(F32&gt;H32,OR(AND(OR($B32&lt;&gt;Ref!$A$7,$H$56&gt;0),OR($B32&lt;&gt;Ref!$A$8,$H$57&gt;0)),COUNT(SEARCH(Sonderarbeit,$N32))&gt;=1),ISNONTEXT(C32),C32&lt;&gt;""),F32-H32,"")</f>
        <v/>
      </c>
      <c r="J32" s="90" t="str">
        <f>IF(OR(AND(F32&lt;H32,OR(AND(OR($B32&lt;&gt;Ref!$A$7,$H$56&gt;0),OR($B32&lt;&gt;Ref!$A$8,$H$57&gt;0)),COUNT(SEARCH(Sonderarbeit,$N32))&gt;=1)),C32="Ausgleich"),H32-F32,"")</f>
        <v/>
      </c>
      <c r="K32" s="91" t="str">
        <f>IF(AND(B32=Ref!$A$8,SUM(I26:I32)&lt;SUM(J26:J32)),"-","")</f>
        <v/>
      </c>
      <c r="L32" s="92" t="str">
        <f>IF(B32=Ref!$A$8,ABS(SUM(I26:I32)-SUM(J26:J32)),"")</f>
        <v/>
      </c>
      <c r="N32" s="181"/>
    </row>
    <row r="33" spans="1:14" ht="17.399999999999999" customHeight="1" x14ac:dyDescent="0.55000000000000004">
      <c r="A33" s="86">
        <v>15</v>
      </c>
      <c r="B33" s="85" t="str">
        <f t="shared" si="1"/>
        <v>Dienstag</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3"/>
        <v>0.33333333333333331</v>
      </c>
      <c r="I33" s="89" t="str">
        <f>IF(AND(F33&gt;H33,OR(AND(OR($B33&lt;&gt;Ref!$A$7,$H$56&gt;0),OR($B33&lt;&gt;Ref!$A$8,$H$57&gt;0)),COUNT(SEARCH(Sonderarbeit,$N33))&gt;=1),ISNONTEXT(C33),C33&lt;&gt;""),F33-H33,"")</f>
        <v/>
      </c>
      <c r="J33" s="90" t="str">
        <f>IF(OR(AND(F33&lt;H33,OR(AND(OR($B33&lt;&gt;Ref!$A$7,$H$56&gt;0),OR($B33&lt;&gt;Ref!$A$8,$H$57&gt;0)),COUNT(SEARCH(Sonderarbeit,$N33))&gt;=1)),C33="Ausgleich"),H33-F33,"")</f>
        <v/>
      </c>
      <c r="K33" s="91" t="str">
        <f>IF(AND(B33=Ref!$A$8,SUM(I27:I33)&lt;SUM(J27:J33)),"-","")</f>
        <v/>
      </c>
      <c r="L33" s="92" t="str">
        <f>IF(B33=Ref!$A$8,ABS(SUM(I27:I33)-SUM(J27:J33)),"")</f>
        <v/>
      </c>
      <c r="N33" s="181"/>
    </row>
    <row r="34" spans="1:14" ht="17.399999999999999" customHeight="1" x14ac:dyDescent="0.55000000000000004">
      <c r="A34" s="86">
        <v>16</v>
      </c>
      <c r="B34" s="85" t="str">
        <f t="shared" si="1"/>
        <v>Mittwoch</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3"/>
        <v>0.33333333333333331</v>
      </c>
      <c r="I34" s="89" t="str">
        <f>IF(AND(F34&gt;H34,OR(AND(OR($B34&lt;&gt;Ref!$A$7,$H$56&gt;0),OR($B34&lt;&gt;Ref!$A$8,$H$57&gt;0)),COUNT(SEARCH(Sonderarbeit,$N34))&gt;=1),ISNONTEXT(C34),C34&lt;&gt;""),F34-H34,"")</f>
        <v/>
      </c>
      <c r="J34" s="90" t="str">
        <f>IF(OR(AND(F34&lt;H34,OR(AND(OR($B34&lt;&gt;Ref!$A$7,$H$56&gt;0),OR($B34&lt;&gt;Ref!$A$8,$H$57&gt;0)),COUNT(SEARCH(Sonderarbeit,$N34))&gt;=1)),C34="Ausgleich"),H34-F34,"")</f>
        <v/>
      </c>
      <c r="K34" s="91" t="str">
        <f>IF(AND(B34=Ref!$A$8,SUM(I28:I34)&lt;SUM(J28:J34)),"-","")</f>
        <v/>
      </c>
      <c r="L34" s="92" t="str">
        <f>IF(B34=Ref!$A$8,ABS(SUM(I28:I34)-SUM(J28:J34)),"")</f>
        <v/>
      </c>
      <c r="N34" s="181"/>
    </row>
    <row r="35" spans="1:14" ht="17.399999999999999" customHeight="1" x14ac:dyDescent="0.55000000000000004">
      <c r="A35" s="86">
        <v>17</v>
      </c>
      <c r="B35" s="85" t="str">
        <f t="shared" si="1"/>
        <v>Donnerstag</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3"/>
        <v>0.33333333333333331</v>
      </c>
      <c r="I35" s="89" t="str">
        <f>IF(AND(F35&gt;H35,OR(AND(OR($B35&lt;&gt;Ref!$A$7,$H$56&gt;0),OR($B35&lt;&gt;Ref!$A$8,$H$57&gt;0)),COUNT(SEARCH(Sonderarbeit,$N35))&gt;=1),ISNONTEXT(C35),C35&lt;&gt;""),F35-H35,"")</f>
        <v/>
      </c>
      <c r="J35" s="90" t="str">
        <f>IF(OR(AND(F35&lt;H35,OR(AND(OR($B35&lt;&gt;Ref!$A$7,$H$56&gt;0),OR($B35&lt;&gt;Ref!$A$8,$H$57&gt;0)),COUNT(SEARCH(Sonderarbeit,$N35))&gt;=1)),C35="Ausgleich"),H35-F35,"")</f>
        <v/>
      </c>
      <c r="K35" s="91" t="str">
        <f>IF(AND(B35=Ref!$A$8,SUM(I29:I35)&lt;SUM(J29:J35)),"-","")</f>
        <v/>
      </c>
      <c r="L35" s="92" t="str">
        <f>IF(B35=Ref!$A$8,ABS(SUM(I29:I35)-SUM(J29:J35)),"")</f>
        <v/>
      </c>
      <c r="N35" s="181"/>
    </row>
    <row r="36" spans="1:14" ht="17.399999999999999" customHeight="1" x14ac:dyDescent="0.55000000000000004">
      <c r="A36" s="86">
        <v>18</v>
      </c>
      <c r="B36" s="85" t="str">
        <f t="shared" si="1"/>
        <v>Freitag</v>
      </c>
      <c r="C36" s="87">
        <v>0.35416666666666669</v>
      </c>
      <c r="D36" s="213">
        <f t="array" ref="D36">IF(AND(COUNT(SEARCH(Sonderarbeit,$N36,1))&gt;=1,$B36=Ref!$A$7),Ref!$K$1,Ref!$K$2)</f>
        <v>0.70833333333333337</v>
      </c>
      <c r="E36" s="213">
        <f t="array" ref="E36">IF(AND(COUNT(SEARCH(Sonderarbeit,$N36))&gt;=1,$B36=Ref!$A$7),,Ref!$K$3)</f>
        <v>2.0833333333333332E-2</v>
      </c>
      <c r="F36" s="270">
        <f t="shared" si="2"/>
        <v>0.33333333333333337</v>
      </c>
      <c r="G36" s="271"/>
      <c r="H36" s="88">
        <f t="shared" si="3"/>
        <v>0.3125</v>
      </c>
      <c r="I36" s="89">
        <f>IF(AND(F36&gt;H36,OR(AND(OR($B36&lt;&gt;Ref!$A$7,$H$56&gt;0),OR($B36&lt;&gt;Ref!$A$8,$H$57&gt;0)),COUNT(SEARCH(Sonderarbeit,$N36))&gt;=1),ISNONTEXT(C36),C36&lt;&gt;""),F36-H36,"")</f>
        <v>2.083333333333337E-2</v>
      </c>
      <c r="J36" s="90" t="str">
        <f>IF(OR(AND(F36&lt;H36,OR(AND(OR($B36&lt;&gt;Ref!$A$7,$H$56&gt;0),OR($B36&lt;&gt;Ref!$A$8,$H$57&gt;0)),COUNT(SEARCH(Sonderarbeit,$N36))&gt;=1)),C36="Ausgleich"),H36-F36,"")</f>
        <v/>
      </c>
      <c r="K36" s="91" t="str">
        <f>IF(AND(B36=Ref!$A$8,SUM(I30:I36)&lt;SUM(J30:J36)),"-","")</f>
        <v/>
      </c>
      <c r="L36" s="92" t="str">
        <f>IF(B36=Ref!$A$8,ABS(SUM(I30:I36)-SUM(J30:J36)),"")</f>
        <v/>
      </c>
      <c r="N36" s="181" t="str">
        <f>IF(Mantelbogen!$C$8="Geschäftsstelle", "2025 Klassensitzung", "")</f>
        <v>2025 Klassensitzung</v>
      </c>
    </row>
    <row r="37" spans="1:14" ht="17.399999999999999" customHeight="1" x14ac:dyDescent="0.55000000000000004">
      <c r="A37" s="86">
        <v>19</v>
      </c>
      <c r="B37" s="85" t="str">
        <f t="shared" si="1"/>
        <v>Samstag</v>
      </c>
      <c r="C37" s="87">
        <v>0.35416666666666669</v>
      </c>
      <c r="D37" s="213">
        <f t="array" ref="D37">IF(AND(COUNT(SEARCH(Sonderarbeit,$N37,1))&gt;=1,$B37=Ref!$A$7),Ref!$K$1,Ref!$K$2)</f>
        <v>0.35416666666666669</v>
      </c>
      <c r="E37" s="213">
        <f t="array" ref="E37">IF(AND(COUNT(SEARCH(Sonderarbeit,$N37))&gt;=1,$B37=Ref!$A$7),,Ref!$K$3)</f>
        <v>0</v>
      </c>
      <c r="F37" s="270">
        <f t="shared" si="2"/>
        <v>0</v>
      </c>
      <c r="G37" s="271"/>
      <c r="H37" s="88">
        <f t="shared" si="3"/>
        <v>0</v>
      </c>
      <c r="I37" s="89" t="str">
        <f>IF(AND(F37&gt;H37,OR(AND(OR($B37&lt;&gt;Ref!$A$7,$H$56&gt;0),OR($B37&lt;&gt;Ref!$A$8,$H$57&gt;0)),COUNT(SEARCH(Sonderarbeit,$N37))&gt;=1),ISNONTEXT(C37),C37&lt;&gt;""),F37-H37,"")</f>
        <v/>
      </c>
      <c r="J37" s="90" t="str">
        <f>IF(OR(AND(F37&lt;H37,OR(AND(OR($B37&lt;&gt;Ref!$A$7,$H$56&gt;0),OR($B37&lt;&gt;Ref!$A$8,$H$57&gt;0)),COUNT(SEARCH(Sonderarbeit,$N37))&gt;=1)),C37="Ausgleich"),H37-F37,"")</f>
        <v/>
      </c>
      <c r="K37" s="91" t="str">
        <f>IF(AND(B37=Ref!$A$8,SUM(I31:I37)&lt;SUM(J31:J37)),"-","")</f>
        <v/>
      </c>
      <c r="L37" s="92" t="str">
        <f>IF(B37=Ref!$A$8,ABS(SUM(I31:I37)-SUM(J31:J37)),"")</f>
        <v/>
      </c>
      <c r="N37" s="181" t="str">
        <f>IF(Mantelbogen!$C$8="Geschäftsstelle", "2025 Gesamtsitzung", "")</f>
        <v>2025 Gesamtsitzung</v>
      </c>
    </row>
    <row r="38" spans="1:14" ht="17.399999999999999" customHeight="1" x14ac:dyDescent="0.55000000000000004">
      <c r="A38" s="86">
        <v>20</v>
      </c>
      <c r="B38" s="85" t="str">
        <f t="shared" si="1"/>
        <v>Sonntag</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v>
      </c>
      <c r="I38" s="89" t="str">
        <f>IF(AND(F38&gt;H38,OR(AND(OR($B38&lt;&gt;Ref!$A$7,$H$56&gt;0),OR($B38&lt;&gt;Ref!$A$8,$H$57&gt;0)),COUNT(SEARCH(Sonderarbeit,$N38))&gt;=1),ISNONTEXT(C38),C38&lt;&gt;""),F38-H38,"")</f>
        <v/>
      </c>
      <c r="J38" s="90" t="str">
        <f>IF(OR(AND(F38&lt;H38,OR(AND(OR($B38&lt;&gt;Ref!$A$7,$H$56&gt;0),OR($B38&lt;&gt;Ref!$A$8,$H$57&gt;0)),COUNT(SEARCH(Sonderarbeit,$N38))&gt;=1)),C38="Ausgleich"),H38-F38,"")</f>
        <v/>
      </c>
      <c r="K38" s="91" t="str">
        <f>IF(AND(B38=Ref!$A$8,SUM(I32:I38)&lt;SUM(J32:J38)),"-","")</f>
        <v/>
      </c>
      <c r="L38" s="92">
        <f>IF(B38=Ref!$A$8,ABS(SUM(I32:I38)-SUM(J32:J38)),"")</f>
        <v>2.083333333333337E-2</v>
      </c>
      <c r="N38" s="181"/>
    </row>
    <row r="39" spans="1:14" ht="17.399999999999999" customHeight="1" x14ac:dyDescent="0.55000000000000004">
      <c r="A39" s="86">
        <v>21</v>
      </c>
      <c r="B39" s="85" t="str">
        <f t="shared" si="1"/>
        <v>Montag</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3"/>
        <v>0.33333333333333331</v>
      </c>
      <c r="I39" s="89" t="str">
        <f>IF(AND(F39&gt;H39,OR(AND(OR($B39&lt;&gt;Ref!$A$7,$H$56&gt;0),OR($B39&lt;&gt;Ref!$A$8,$H$57&gt;0)),COUNT(SEARCH(Sonderarbeit,$N39))&gt;=1),ISNONTEXT(C39),C39&lt;&gt;""),F39-H39,"")</f>
        <v/>
      </c>
      <c r="J39" s="90" t="str">
        <f>IF(OR(AND(F39&lt;H39,OR(AND(OR($B39&lt;&gt;Ref!$A$7,$H$56&gt;0),OR($B39&lt;&gt;Ref!$A$8,$H$57&gt;0)),COUNT(SEARCH(Sonderarbeit,$N39))&gt;=1)),C39="Ausgleich"),H39-F39,"")</f>
        <v/>
      </c>
      <c r="K39" s="91" t="str">
        <f>IF(AND(B39=Ref!$A$8,SUM(I33:I39)&lt;SUM(J33:J39)),"-","")</f>
        <v/>
      </c>
      <c r="L39" s="92" t="str">
        <f>IF(B39=Ref!$A$8,ABS(SUM(I33:I39)-SUM(J33:J39)),"")</f>
        <v/>
      </c>
      <c r="N39" s="181"/>
    </row>
    <row r="40" spans="1:14" ht="17.399999999999999" customHeight="1" x14ac:dyDescent="0.55000000000000004">
      <c r="A40" s="86">
        <v>22</v>
      </c>
      <c r="B40" s="85" t="str">
        <f t="shared" si="1"/>
        <v>Dienstag</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0.33333333333333331</v>
      </c>
      <c r="I40" s="89" t="str">
        <f>IF(AND(F40&gt;H40,OR(AND(OR($B40&lt;&gt;Ref!$A$7,$H$56&gt;0),OR($B40&lt;&gt;Ref!$A$8,$H$57&gt;0)),COUNT(SEARCH(Sonderarbeit,$N40))&gt;=1),ISNONTEXT(C40),C40&lt;&gt;""),F40-H40,"")</f>
        <v/>
      </c>
      <c r="J40" s="90" t="str">
        <f>IF(OR(AND(F40&lt;H40,OR(AND(OR($B40&lt;&gt;Ref!$A$7,$H$56&gt;0),OR($B40&lt;&gt;Ref!$A$8,$H$57&gt;0)),COUNT(SEARCH(Sonderarbeit,$N40))&gt;=1)),C40="Ausgleich"),H40-F40,"")</f>
        <v/>
      </c>
      <c r="K40" s="91" t="str">
        <f>IF(AND(B40=Ref!$A$8,SUM(I34:I40)&lt;SUM(J34:J40)),"-","")</f>
        <v/>
      </c>
      <c r="L40" s="92" t="str">
        <f>IF(B40=Ref!$A$8,ABS(SUM(I34:I40)-SUM(J34:J40)),"")</f>
        <v/>
      </c>
      <c r="N40" s="181"/>
    </row>
    <row r="41" spans="1:14" ht="17.399999999999999" customHeight="1" x14ac:dyDescent="0.55000000000000004">
      <c r="A41" s="86">
        <v>23</v>
      </c>
      <c r="B41" s="85" t="str">
        <f t="shared" si="1"/>
        <v>Mittwoch</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0.33333333333333331</v>
      </c>
      <c r="I41" s="89" t="str">
        <f>IF(AND(F41&gt;H41,OR(AND(OR($B41&lt;&gt;Ref!$A$7,$H$56&gt;0),OR($B41&lt;&gt;Ref!$A$8,$H$57&gt;0)),COUNT(SEARCH(Sonderarbeit,$N41))&gt;=1),ISNONTEXT(C41),C41&lt;&gt;""),F41-H41,"")</f>
        <v/>
      </c>
      <c r="J41" s="90" t="str">
        <f>IF(OR(AND(F41&lt;H41,OR(AND(OR($B41&lt;&gt;Ref!$A$7,$H$56&gt;0),OR($B41&lt;&gt;Ref!$A$8,$H$57&gt;0)),COUNT(SEARCH(Sonderarbeit,$N41))&gt;=1)),C41="Ausgleich"),H41-F41,"")</f>
        <v/>
      </c>
      <c r="K41" s="91" t="str">
        <f>IF(AND(B41=Ref!$A$8,SUM(I35:I41)&lt;SUM(J35:J41)),"-","")</f>
        <v/>
      </c>
      <c r="L41" s="92" t="str">
        <f>IF(B41=Ref!$A$8,ABS(SUM(I35:I41)-SUM(J35:J41)),"")</f>
        <v/>
      </c>
      <c r="N41" s="181"/>
    </row>
    <row r="42" spans="1:14" ht="17.399999999999999" customHeight="1" x14ac:dyDescent="0.55000000000000004">
      <c r="A42" s="86">
        <v>24</v>
      </c>
      <c r="B42" s="85" t="str">
        <f t="shared" si="1"/>
        <v>Donnerstag</v>
      </c>
      <c r="C42" s="87">
        <v>0.35416666666666669</v>
      </c>
      <c r="D42" s="213">
        <f t="array" ref="D42">IF(AND(COUNT(SEARCH(Sonderarbeit,$N42,1))&gt;=1,$B42=Ref!$A$7),Ref!$K$1,Ref!$K$2)</f>
        <v>0.70833333333333337</v>
      </c>
      <c r="E42" s="213">
        <f t="array" ref="E42">IF(AND(COUNT(SEARCH(Sonderarbeit,$N42))&gt;=1,$B42=Ref!$A$7),,Ref!$K$3)</f>
        <v>2.0833333333333332E-2</v>
      </c>
      <c r="F42" s="270">
        <f t="shared" si="2"/>
        <v>0.33333333333333337</v>
      </c>
      <c r="G42" s="271"/>
      <c r="H42" s="88">
        <f t="shared" si="3"/>
        <v>0.33333333333333331</v>
      </c>
      <c r="I42" s="89" t="str">
        <f>IF(AND(F42&gt;H42,OR(AND(OR($B42&lt;&gt;Ref!$A$7,$H$56&gt;0),OR($B42&lt;&gt;Ref!$A$8,$H$57&gt;0)),COUNT(SEARCH(Sonderarbeit,$N42))&gt;=1),ISNONTEXT(C42),C42&lt;&gt;""),F42-H42,"")</f>
        <v/>
      </c>
      <c r="J42" s="90" t="str">
        <f>IF(OR(AND(F42&lt;H42,OR(AND(OR($B42&lt;&gt;Ref!$A$7,$H$56&gt;0),OR($B42&lt;&gt;Ref!$A$8,$H$57&gt;0)),COUNT(SEARCH(Sonderarbeit,$N42))&gt;=1)),C42="Ausgleich"),H42-F42,"")</f>
        <v/>
      </c>
      <c r="K42" s="91" t="str">
        <f>IF(AND(B42=Ref!$A$8,SUM(I36:I42)&lt;SUM(J36:J42)),"-","")</f>
        <v/>
      </c>
      <c r="L42" s="92" t="str">
        <f>IF(B42=Ref!$A$8,ABS(SUM(I36:I42)-SUM(J36:J42)),"")</f>
        <v/>
      </c>
      <c r="N42" s="181"/>
    </row>
    <row r="43" spans="1:14" ht="17.399999999999999" customHeight="1" x14ac:dyDescent="0.55000000000000004">
      <c r="A43" s="86">
        <v>25</v>
      </c>
      <c r="B43" s="85" t="str">
        <f t="shared" si="1"/>
        <v>Freitag</v>
      </c>
      <c r="C43" s="87">
        <v>0.35416666666666669</v>
      </c>
      <c r="D43" s="213">
        <f t="array" ref="D43">IF(AND(COUNT(SEARCH(Sonderarbeit,$N43,1))&gt;=1,$B43=Ref!$A$7),Ref!$K$1,Ref!$K$2)</f>
        <v>0.70833333333333337</v>
      </c>
      <c r="E43" s="213">
        <f t="array" ref="E43">IF(AND(COUNT(SEARCH(Sonderarbeit,$N43))&gt;=1,$B43=Ref!$A$7),,Ref!$K$3)</f>
        <v>2.0833333333333332E-2</v>
      </c>
      <c r="F43" s="270">
        <f t="shared" si="2"/>
        <v>0.33333333333333337</v>
      </c>
      <c r="G43" s="271"/>
      <c r="H43" s="88">
        <f t="shared" si="3"/>
        <v>0.3125</v>
      </c>
      <c r="I43" s="89">
        <f>IF(AND(F43&gt;H43,OR(AND(OR($B43&lt;&gt;Ref!$A$7,$H$56&gt;0),OR($B43&lt;&gt;Ref!$A$8,$H$57&gt;0)),COUNT(SEARCH(Sonderarbeit,$N43))&gt;=1),ISNONTEXT(C43),C43&lt;&gt;""),F43-H43,"")</f>
        <v>2.083333333333337E-2</v>
      </c>
      <c r="J43" s="90" t="str">
        <f>IF(OR(AND(F43&lt;H43,OR(AND(OR($B43&lt;&gt;Ref!$A$7,$H$56&gt;0),OR($B43&lt;&gt;Ref!$A$8,$H$57&gt;0)),COUNT(SEARCH(Sonderarbeit,$N43))&gt;=1)),C43="Ausgleich"),H43-F43,"")</f>
        <v/>
      </c>
      <c r="K43" s="91" t="str">
        <f>IF(AND(B43=Ref!$A$8,SUM(I37:I43)&lt;SUM(J37:J43)),"-","")</f>
        <v/>
      </c>
      <c r="L43" s="92" t="str">
        <f>IF(B43=Ref!$A$8,ABS(SUM(I37:I43)-SUM(J37:J43)),"")</f>
        <v/>
      </c>
      <c r="M43" s="182"/>
      <c r="N43" s="181"/>
    </row>
    <row r="44" spans="1:14" ht="17.399999999999999" customHeight="1" x14ac:dyDescent="0.55000000000000004">
      <c r="A44" s="86">
        <v>26</v>
      </c>
      <c r="B44" s="85" t="str">
        <f t="shared" si="1"/>
        <v>Samstag</v>
      </c>
      <c r="C44" s="87">
        <v>0.35416666666666669</v>
      </c>
      <c r="D44" s="213">
        <f t="array" ref="D44">IF(AND(COUNT(SEARCH(Sonderarbeit,$N44,1))&gt;=1,$B44=Ref!$A$7),Ref!$K$1,Ref!$K$2)</f>
        <v>0.70833333333333337</v>
      </c>
      <c r="E44" s="213">
        <f t="array" ref="E44">IF(AND(COUNT(SEARCH(Sonderarbeit,$N44))&gt;=1,$B44=Ref!$A$7),,Ref!$K$3)</f>
        <v>2.0833333333333332E-2</v>
      </c>
      <c r="F44" s="270">
        <f t="shared" si="2"/>
        <v>0.33333333333333337</v>
      </c>
      <c r="G44" s="271"/>
      <c r="H44" s="88">
        <f t="shared" si="3"/>
        <v>0</v>
      </c>
      <c r="I44" s="89" t="str">
        <f>IF(AND(F44&gt;H44,OR(AND(OR($B44&lt;&gt;Ref!$A$7,$H$56&gt;0),OR($B44&lt;&gt;Ref!$A$8,$H$57&gt;0)),COUNT(SEARCH(Sonderarbeit,$N44))&gt;=1),ISNONTEXT(C44),C44&lt;&gt;""),F44-H44,"")</f>
        <v/>
      </c>
      <c r="J44" s="90" t="str">
        <f>IF(OR(AND(F44&lt;H44,OR(AND(OR($B44&lt;&gt;Ref!$A$7,$H$56&gt;0),OR($B44&lt;&gt;Ref!$A$8,$H$57&gt;0)),COUNT(SEARCH(Sonderarbeit,$N44))&gt;=1)),C44="Ausgleich"),H44-F44,"")</f>
        <v/>
      </c>
      <c r="K44" s="91" t="str">
        <f>IF(AND(B44=Ref!$A$8,SUM(I38:I44)&lt;SUM(J38:J44)),"-","")</f>
        <v/>
      </c>
      <c r="L44" s="92" t="str">
        <f>IF(B44=Ref!$A$8,ABS(SUM(I38:I44)-SUM(J38:J44)),"")</f>
        <v/>
      </c>
      <c r="N44" s="181"/>
    </row>
    <row r="45" spans="1:14" ht="17.399999999999999" customHeight="1" x14ac:dyDescent="0.55000000000000004">
      <c r="A45" s="86">
        <v>27</v>
      </c>
      <c r="B45" s="85" t="str">
        <f t="shared" si="1"/>
        <v>Sonntag</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v>
      </c>
      <c r="I45" s="89" t="str">
        <f>IF(AND(F45&gt;H45,OR(AND(OR($B45&lt;&gt;Ref!$A$7,$H$56&gt;0),OR($B45&lt;&gt;Ref!$A$8,$H$57&gt;0)),COUNT(SEARCH(Sonderarbeit,$N45))&gt;=1),ISNONTEXT(C45),C45&lt;&gt;""),F45-H45,"")</f>
        <v/>
      </c>
      <c r="J45" s="90" t="str">
        <f>IF(OR(AND(F45&lt;H45,OR(AND(OR($B45&lt;&gt;Ref!$A$7,$H$56&gt;0),OR($B45&lt;&gt;Ref!$A$8,$H$57&gt;0)),COUNT(SEARCH(Sonderarbeit,$N45))&gt;=1)),C45="Ausgleich"),H45-F45,"")</f>
        <v/>
      </c>
      <c r="K45" s="91" t="str">
        <f>IF(AND(B45=Ref!$A$8,SUM(I39:I45)&lt;SUM(J39:J45)),"-","")</f>
        <v/>
      </c>
      <c r="L45" s="92">
        <f>IF(B45=Ref!$A$8,ABS(SUM(I39:I45)-SUM(J39:J45)),"")</f>
        <v>2.083333333333337E-2</v>
      </c>
      <c r="M45" s="182"/>
      <c r="N45" s="181"/>
    </row>
    <row r="46" spans="1:14" ht="17.399999999999999" customHeight="1" x14ac:dyDescent="0.55000000000000004">
      <c r="A46" s="86">
        <v>28</v>
      </c>
      <c r="B46" s="85" t="str">
        <f t="shared" si="1"/>
        <v>Montag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0.33333333333333331</v>
      </c>
      <c r="I46" s="89" t="str">
        <f>IF(AND(F46&gt;H46,OR(AND(OR($B46&lt;&gt;Ref!$A$7,$H$56&gt;0),OR($B46&lt;&gt;Ref!$A$8,$H$57&gt;0)),COUNT(SEARCH(Sonderarbeit,$N46))&gt;=1),ISNONTEXT(C46),C46&lt;&gt;""),F46-H46,"")</f>
        <v/>
      </c>
      <c r="J46" s="90" t="str">
        <f>IF(OR(AND(F46&lt;H46,OR(AND(OR($B46&lt;&gt;Ref!$A$7,$H$56&gt;0),OR($B46&lt;&gt;Ref!$A$8,$H$57&gt;0)),COUNT(SEARCH(Sonderarbeit,$N46))&gt;=1)),C46="Ausgleich"),H46-F46,"")</f>
        <v/>
      </c>
      <c r="K46" s="91" t="str">
        <f>IF(AND(B46=Ref!$A$8,SUM(I40:I46)&lt;SUM(J40:J46)),"-","")</f>
        <v/>
      </c>
      <c r="L46" s="92" t="str">
        <f>IF(B46=Ref!$A$8,ABS(SUM(I40:I46)-SUM(J40:J46)),"")</f>
        <v/>
      </c>
      <c r="M46" s="182"/>
      <c r="N46" s="181"/>
    </row>
    <row r="47" spans="1:14" ht="17.399999999999999" customHeight="1" x14ac:dyDescent="0.55000000000000004">
      <c r="A47" s="86">
        <v>29</v>
      </c>
      <c r="B47" s="85" t="str">
        <f t="shared" si="1"/>
        <v>Dienstag</v>
      </c>
      <c r="C47" s="87">
        <v>0.35416666666666669</v>
      </c>
      <c r="D47" s="213">
        <f t="array" ref="D47">IF(AND(COUNT(SEARCH(Sonderarbeit,$N47,1))&gt;=1,$B47=Ref!$A$7),Ref!$K$1,Ref!$K$2)</f>
        <v>0.70833333333333337</v>
      </c>
      <c r="E47" s="213">
        <f t="array" ref="E47">IF(AND(COUNT(SEARCH(Sonderarbeit,$N47))&gt;=1,$B47=Ref!$A$7),,Ref!$K$3)</f>
        <v>2.0833333333333332E-2</v>
      </c>
      <c r="F47" s="270">
        <f t="shared" si="2"/>
        <v>0.33333333333333337</v>
      </c>
      <c r="G47" s="271"/>
      <c r="H47" s="88">
        <f t="shared" si="3"/>
        <v>0.33333333333333331</v>
      </c>
      <c r="I47" s="89" t="str">
        <f>IF(AND(F47&gt;H47,OR(AND(OR($B47&lt;&gt;Ref!$A$7,$H$56&gt;0),OR($B47&lt;&gt;Ref!$A$8,$H$57&gt;0)),COUNT(SEARCH(Sonderarbeit,$N47))&gt;=1),ISNONTEXT(C47),C47&lt;&gt;""),F47-H47,"")</f>
        <v/>
      </c>
      <c r="J47" s="90" t="str">
        <f>IF(OR(AND(F47&lt;H47,OR(AND(OR($B47&lt;&gt;Ref!$A$7,$H$56&gt;0),OR($B47&lt;&gt;Ref!$A$8,$H$57&gt;0)),COUNT(SEARCH(Sonderarbeit,$N47))&gt;=1)),C47="Ausgleich"),H47-F47,"")</f>
        <v/>
      </c>
      <c r="K47" s="91" t="str">
        <f>IF(AND(B47=Ref!$A$8,SUM(I41:I47)&lt;SUM(J41:J47)),"-","")</f>
        <v/>
      </c>
      <c r="L47" s="92" t="str">
        <f>IF(B47=Ref!$A$8,ABS(SUM(I41:I47)-SUM(J41:J47)),"")</f>
        <v/>
      </c>
      <c r="N47" s="181"/>
    </row>
    <row r="48" spans="1:14" ht="17.399999999999999" customHeight="1" x14ac:dyDescent="0.55000000000000004">
      <c r="A48" s="86">
        <v>30</v>
      </c>
      <c r="B48" s="85" t="str">
        <f t="shared" si="1"/>
        <v>Mittwoch</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0.33333333333333331</v>
      </c>
      <c r="I48" s="89" t="str">
        <f>IF(AND(F48&gt;H48,OR(AND(OR($B48&lt;&gt;Ref!$A$7,$H$56&gt;0),OR($B48&lt;&gt;Ref!$A$8,$H$57&gt;0)),COUNT(SEARCH(Sonderarbeit,$N48))&gt;=1),ISNONTEXT(C48),C48&lt;&gt;""),F48-H48,"")</f>
        <v/>
      </c>
      <c r="J48" s="90" t="str">
        <f>IF(OR(AND(F48&lt;H48,OR(AND(OR($B48&lt;&gt;Ref!$A$7,$H$56&gt;0),OR($B48&lt;&gt;Ref!$A$8,$H$57&gt;0)),COUNT(SEARCH(Sonderarbeit,$N48))&gt;=1)),C48="Ausgleich"),H48-F48,"")</f>
        <v/>
      </c>
      <c r="K48" s="91" t="str">
        <f>IF(AND(B48=Ref!$A$8,SUM(I42:I48)&lt;SUM(J42:J48)),"-","")</f>
        <v/>
      </c>
      <c r="L48" s="92" t="str">
        <f>IF(B48=Ref!$A$8,ABS(SUM(I42:I48)-SUM(J42:J48)),"")</f>
        <v/>
      </c>
      <c r="N48" s="181"/>
    </row>
    <row r="49" spans="1:14" ht="17.399999999999999" customHeight="1" x14ac:dyDescent="0.55000000000000004">
      <c r="A49" s="86">
        <v>31</v>
      </c>
      <c r="B49" s="85" t="str">
        <f t="shared" si="1"/>
        <v>Donnerstag</v>
      </c>
      <c r="C49" s="87">
        <v>0.35416666666666669</v>
      </c>
      <c r="D49" s="213">
        <f t="array" ref="D49">IF(AND(COUNT(SEARCH(Sonderarbeit,$N49,1))&gt;=1,$B49=Ref!$A$7),Ref!$K$1,Ref!$K$2)</f>
        <v>0.70833333333333337</v>
      </c>
      <c r="E49" s="213">
        <f t="array" ref="E49">IF(AND(COUNT(SEARCH(Sonderarbeit,$N49))&gt;=1,$B49=Ref!$A$7),,Ref!$K$3)</f>
        <v>2.0833333333333332E-2</v>
      </c>
      <c r="F49" s="270">
        <f t="shared" si="2"/>
        <v>0.33333333333333337</v>
      </c>
      <c r="G49" s="271"/>
      <c r="H49" s="88">
        <f t="shared" si="3"/>
        <v>0.33333333333333331</v>
      </c>
      <c r="I49" s="89" t="str">
        <f>IF(AND(F49&gt;H49,OR(AND(OR($B49&lt;&gt;Ref!$A$7,$H$56&gt;0),OR($B49&lt;&gt;Ref!$A$8,$H$57&gt;0)),COUNT(SEARCH(Sonderarbeit,$N49))&gt;=1),ISNONTEXT(C49),C49&lt;&gt;""),F49-H49,"")</f>
        <v/>
      </c>
      <c r="J49" s="90" t="str">
        <f>IF(OR(AND(F49&lt;H49,OR(AND(OR($B49&lt;&gt;Ref!$A$7,$H$56&gt;0),OR($B49&lt;&gt;Ref!$A$8,$H$57&gt;0)),COUNT(SEARCH(Sonderarbeit,$N49))&gt;=1)),C49="Ausgleich"),H49-F49,"")</f>
        <v/>
      </c>
      <c r="K49" s="97" t="str">
        <f ca="1">IF(SUM(INDIRECT("I"&amp;ROW()-WEEKDAY(DATE(J$11,MONTH(I$11),A49),3)):I49) &lt; SUM(INDIRECT("j"&amp;ROW()-WEEKDAY(DATE(J$11,MONTH(I$11),A49),3)):J49),"-","")</f>
        <v/>
      </c>
      <c r="L49" s="96">
        <f ca="1">ABS(SUM(INDIRECT("I"&amp;ROW()-WEEKDAY(DATE(J$11,MONTH(I$11),A49),3)):I49)-SUM(INDIRECT("j"&amp;ROW()-WEEKDAY(DATE(J$11,MONTH(I$11),A49))):J49))</f>
        <v>0</v>
      </c>
      <c r="N49" s="181" t="s">
        <v>137</v>
      </c>
    </row>
    <row r="50" spans="1:14" s="20" customFormat="1" ht="17.399999999999999" customHeight="1" thickBot="1" x14ac:dyDescent="0.35">
      <c r="A50" s="98" t="str">
        <f>Jan!A50</f>
        <v>Sonstige Zeiten laut beigefügter Aufstellung (s. Anlage):</v>
      </c>
      <c r="B50" s="172"/>
      <c r="C50" s="173"/>
      <c r="D50" s="101"/>
      <c r="E50" s="101"/>
      <c r="F50" s="101"/>
      <c r="G50" s="101"/>
      <c r="H50" s="165"/>
      <c r="I50" s="145">
        <v>0</v>
      </c>
      <c r="J50" s="146">
        <v>0</v>
      </c>
      <c r="K50" s="147"/>
      <c r="L50" s="148"/>
      <c r="M50" s="177"/>
      <c r="N50" s="181"/>
    </row>
    <row r="51" spans="1:14" ht="13" x14ac:dyDescent="0.3">
      <c r="A51" s="257" t="s">
        <v>3</v>
      </c>
      <c r="B51" s="257"/>
      <c r="C51" s="257"/>
      <c r="D51" s="257"/>
      <c r="E51" s="105"/>
      <c r="F51" s="105"/>
      <c r="G51" s="105"/>
      <c r="H51" s="166">
        <f>Jun!H50</f>
        <v>0.33333333333333331</v>
      </c>
      <c r="I51" s="273">
        <f>SUM(I17:I50)</f>
        <v>0.60416666666666774</v>
      </c>
      <c r="J51" s="275">
        <f>SUM(J17:J50)</f>
        <v>0</v>
      </c>
      <c r="K51" s="252" t="str">
        <f ca="1">IF(SUMIF(K19:K49,"",L19:L49)&lt;SUMIF(K19:K49,"-",L19:L49),"-","")</f>
        <v/>
      </c>
      <c r="L51" s="254">
        <f ca="1">ABS(SUMIF(K19:K49,"",L19:L49)-SUMIF(K19:K49,"-",L19:L49))</f>
        <v>8.3333333333333481E-2</v>
      </c>
    </row>
    <row r="52" spans="1:14" ht="13.5" thickBot="1" x14ac:dyDescent="0.35">
      <c r="A52" s="258"/>
      <c r="B52" s="258"/>
      <c r="C52" s="258"/>
      <c r="D52" s="258"/>
      <c r="E52" s="105"/>
      <c r="F52" s="105"/>
      <c r="G52" s="106" t="s">
        <v>12</v>
      </c>
      <c r="H52" s="167">
        <f>Jun!H51</f>
        <v>0.33333333333333331</v>
      </c>
      <c r="I52" s="274"/>
      <c r="J52" s="276"/>
      <c r="K52" s="253"/>
      <c r="L52" s="255"/>
    </row>
    <row r="53" spans="1:14" ht="13" x14ac:dyDescent="0.3">
      <c r="A53" s="258"/>
      <c r="B53" s="258"/>
      <c r="C53" s="258"/>
      <c r="D53" s="258"/>
      <c r="E53" s="105"/>
      <c r="F53" s="105"/>
      <c r="G53" s="107"/>
      <c r="H53" s="167">
        <f>Jun!H52</f>
        <v>0.33333333333333331</v>
      </c>
      <c r="I53" s="268">
        <f>IF(I51&gt;J51,I51-J51,0)</f>
        <v>0.60416666666666774</v>
      </c>
      <c r="J53" s="266" t="str">
        <f>IF(J51&gt;I51,J51-I51,"")</f>
        <v/>
      </c>
      <c r="K53" s="110"/>
      <c r="L53" s="110"/>
    </row>
    <row r="54" spans="1:14" ht="13.5" thickBot="1" x14ac:dyDescent="0.35">
      <c r="A54" s="265" t="s">
        <v>15</v>
      </c>
      <c r="B54" s="265"/>
      <c r="C54" s="265"/>
      <c r="D54" s="265"/>
      <c r="E54" s="109"/>
      <c r="F54" s="109"/>
      <c r="G54" s="106" t="s">
        <v>13</v>
      </c>
      <c r="H54" s="167">
        <f>Jun!H53</f>
        <v>0.33333333333333331</v>
      </c>
      <c r="I54" s="269"/>
      <c r="J54" s="267"/>
      <c r="K54" s="110"/>
      <c r="L54" s="110"/>
    </row>
    <row r="55" spans="1:14" ht="13.5" thickBot="1" x14ac:dyDescent="0.35">
      <c r="A55" s="257" t="s">
        <v>4</v>
      </c>
      <c r="B55" s="257"/>
      <c r="C55" s="257"/>
      <c r="D55" s="257"/>
      <c r="E55" s="109"/>
      <c r="F55" s="109"/>
      <c r="G55" s="109"/>
      <c r="H55" s="167">
        <f>Jun!H54</f>
        <v>0.3125</v>
      </c>
      <c r="I55" s="109"/>
      <c r="J55" s="109"/>
      <c r="K55" s="110"/>
      <c r="L55" s="110"/>
    </row>
    <row r="56" spans="1:14" ht="13.25" customHeight="1" x14ac:dyDescent="0.3">
      <c r="A56" s="258"/>
      <c r="B56" s="258"/>
      <c r="C56" s="258"/>
      <c r="D56" s="258"/>
      <c r="E56" s="149" t="str">
        <f>Jan!E56</f>
        <v xml:space="preserve"> </v>
      </c>
      <c r="F56" s="150"/>
      <c r="G56" s="151" t="str">
        <f>IF(E56=" ", " ", IF(Mantelbogen!D26=I11,Mantelbogen!C29,Jun!G57))</f>
        <v xml:space="preserve"> </v>
      </c>
      <c r="H56" s="168">
        <v>0</v>
      </c>
      <c r="I56" s="259" t="s">
        <v>123</v>
      </c>
      <c r="J56" s="260"/>
      <c r="K56" s="110"/>
      <c r="L56" s="110"/>
    </row>
    <row r="57" spans="1:14" ht="13.5" thickBot="1" x14ac:dyDescent="0.35">
      <c r="A57" s="258"/>
      <c r="B57" s="258"/>
      <c r="C57" s="258"/>
      <c r="D57" s="258"/>
      <c r="E57" s="149" t="str">
        <f>Jan!E57</f>
        <v xml:space="preserve"> </v>
      </c>
      <c r="F57" s="151"/>
      <c r="G57" s="151" t="str">
        <f>IF(E56=" ", " ", -COUNTIF(C19:C49, "Urlaub*" ))</f>
        <v xml:space="preserve"> </v>
      </c>
      <c r="H57" s="169">
        <v>0</v>
      </c>
      <c r="I57" s="261"/>
      <c r="J57" s="262"/>
      <c r="K57" s="110"/>
      <c r="L57" s="110"/>
    </row>
    <row r="58" spans="1:14" ht="24.5" customHeight="1" thickBot="1" x14ac:dyDescent="0.35">
      <c r="A58" s="265" t="s">
        <v>10</v>
      </c>
      <c r="B58" s="265"/>
      <c r="C58" s="265"/>
      <c r="D58" s="265"/>
      <c r="E58" s="152" t="str">
        <f>Jan!E58</f>
        <v xml:space="preserve"> </v>
      </c>
      <c r="F58" s="153"/>
      <c r="G58" s="154" t="str">
        <f>IF(E56=" ", " ", IF(Mantelbogen!C29 &gt; 0.0001, G56+G57, 0))</f>
        <v xml:space="preserve"> </v>
      </c>
      <c r="H58" s="195">
        <f>SUM(H51:H57)</f>
        <v>1.6458333333333333</v>
      </c>
      <c r="I58" s="263"/>
      <c r="J58" s="264"/>
      <c r="K58" s="105"/>
      <c r="L58" s="118" t="str">
        <f>Mantelbogen!D47</f>
        <v>10.01.2024  HAdW / G. Wolff</v>
      </c>
    </row>
    <row r="60" spans="1:14" x14ac:dyDescent="0.25">
      <c r="G60" s="256"/>
      <c r="H60" s="256"/>
      <c r="I60" s="256"/>
      <c r="J60" s="21"/>
    </row>
    <row r="61" spans="1:14" x14ac:dyDescent="0.25">
      <c r="G61" s="21"/>
      <c r="H61" s="21"/>
      <c r="I61" s="21"/>
      <c r="J61" s="21"/>
    </row>
    <row r="62" spans="1:14" x14ac:dyDescent="0.25">
      <c r="G62" s="21"/>
      <c r="H62" s="21"/>
    </row>
  </sheetData>
  <sheetProtection password="9BC9" sheet="1" objects="1" scenarios="1"/>
  <mergeCells count="63">
    <mergeCell ref="A11:B11"/>
    <mergeCell ref="A13:B13"/>
    <mergeCell ref="A15:A18"/>
    <mergeCell ref="B15:B18"/>
    <mergeCell ref="G1:J7"/>
    <mergeCell ref="A4:E6"/>
    <mergeCell ref="I15:J15"/>
    <mergeCell ref="C15:C18"/>
    <mergeCell ref="D15:D18"/>
    <mergeCell ref="E15:E18"/>
    <mergeCell ref="J17:J18"/>
    <mergeCell ref="A1:E2"/>
    <mergeCell ref="A3:E3"/>
    <mergeCell ref="F28:G28"/>
    <mergeCell ref="H15:H18"/>
    <mergeCell ref="I17:I18"/>
    <mergeCell ref="F20:G20"/>
    <mergeCell ref="F21:G21"/>
    <mergeCell ref="F22:G22"/>
    <mergeCell ref="F23:G23"/>
    <mergeCell ref="F15:G18"/>
    <mergeCell ref="F24:G24"/>
    <mergeCell ref="F25:G25"/>
    <mergeCell ref="F26:G26"/>
    <mergeCell ref="F27:G27"/>
    <mergeCell ref="F19:G19"/>
    <mergeCell ref="F32:G32"/>
    <mergeCell ref="F33:G33"/>
    <mergeCell ref="F34:G34"/>
    <mergeCell ref="F35:G35"/>
    <mergeCell ref="F29:G29"/>
    <mergeCell ref="F30:G30"/>
    <mergeCell ref="F31:G31"/>
    <mergeCell ref="F43:G43"/>
    <mergeCell ref="F36:G36"/>
    <mergeCell ref="F37:G37"/>
    <mergeCell ref="F38:G38"/>
    <mergeCell ref="F39:G39"/>
    <mergeCell ref="A54:D54"/>
    <mergeCell ref="G60:I60"/>
    <mergeCell ref="A55:D55"/>
    <mergeCell ref="A56:D57"/>
    <mergeCell ref="I56:J58"/>
    <mergeCell ref="A58:D58"/>
    <mergeCell ref="J53:J54"/>
    <mergeCell ref="I53:I54"/>
    <mergeCell ref="A52:D53"/>
    <mergeCell ref="F48:G48"/>
    <mergeCell ref="F49:G49"/>
    <mergeCell ref="A51:D51"/>
    <mergeCell ref="I51:I52"/>
    <mergeCell ref="K15:L16"/>
    <mergeCell ref="K17:L18"/>
    <mergeCell ref="K51:K52"/>
    <mergeCell ref="L51:L52"/>
    <mergeCell ref="J51:J52"/>
    <mergeCell ref="F44:G44"/>
    <mergeCell ref="F45:G45"/>
    <mergeCell ref="F46:G46"/>
    <mergeCell ref="F47:G47"/>
    <mergeCell ref="F40:G40"/>
    <mergeCell ref="F41:G41"/>
    <mergeCell ref="F42:G42"/>
  </mergeCells>
  <phoneticPr fontId="0" type="noConversion"/>
  <conditionalFormatting sqref="C19:C49">
    <cfRule type="expression" dxfId="87" priority="7">
      <formula>ISTEXT($C19)</formula>
    </cfRule>
  </conditionalFormatting>
  <conditionalFormatting sqref="F19:F49">
    <cfRule type="expression" dxfId="86" priority="11">
      <formula>AND(ISNONTEXT($C19),$F19 &gt; 0.666667)</formula>
    </cfRule>
  </conditionalFormatting>
  <conditionalFormatting sqref="A19:L49">
    <cfRule type="expression" dxfId="85" priority="5">
      <formula>AND(ISTEXT($C19),$C19&lt;&gt;"Kinderkrankentag",$C19&lt;&gt;"Urlaub",$C19&lt;&gt;"Krank",$C19&lt;&gt;"Ausgleich")</formula>
    </cfRule>
  </conditionalFormatting>
  <conditionalFormatting sqref="D19:H49">
    <cfRule type="expression" dxfId="84" priority="4">
      <formula>AND(ISTEXT($C19),OR($C19="Kinderkrankentag",$C19="Urlaub",$C19="Krank",$C19="Ausgleich"))</formula>
    </cfRule>
  </conditionalFormatting>
  <conditionalFormatting sqref="A19:A49 C19:L49">
    <cfRule type="expression" dxfId="83" priority="1">
      <formula>COUNT(SEARCH(Sonderarbeit,$N19))&gt;=1</formula>
    </cfRule>
  </conditionalFormatting>
  <conditionalFormatting sqref="D19:J49">
    <cfRule type="expression" dxfId="82" priority="3">
      <formula>AND(ISTEXT($C19),$C19&lt;&gt;"Kinderkrankentag",$C19&lt;&gt;"Urlaub",$C19&lt;&gt;"Krank",$C19&lt;&gt;"Ausgleich")</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F160A0FA-58CB-4099-BF36-9638660148B2}">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E12DD473-4D8C-4BDD-96D9-F1F2FDA1A6E1}">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 xmlns:xm="http://schemas.microsoft.com/office/excel/2006/main">
          <x14:cfRule type="expression" priority="6" id="{3EB2C564-C3EC-432B-AB88-8543CD290163}">
            <xm:f>OR(AND($B19=Ref!$A$7,$H$56=0), AND($B19=Ref!$A$8,$H$57=0), NOT( ISERROR(FIND("feiertag",LOWER($C19)) ) ) )</xm:f>
            <x14:dxf>
              <fill>
                <patternFill patternType="solid">
                  <bgColor rgb="FF99CCFF"/>
                </patternFill>
              </fill>
            </x14:dxf>
          </x14:cfRule>
          <xm:sqref>A19:L49</xm:sqref>
        </x14:conditionalFormatting>
        <x14:conditionalFormatting xmlns:xm="http://schemas.microsoft.com/office/excel/2006/main">
          <x14:cfRule type="expression" priority="8" id="{918FC986-44A2-403E-944B-62859C25FDF6}">
            <xm:f>OR(AND($B19=Ref!$A$7, $H$56&lt;0.00001),AND($B19=Ref!$A$8, $H$57&lt;0.00001))</xm:f>
            <x14:dxf>
              <font>
                <color rgb="FF99CCFF"/>
              </font>
              <fill>
                <patternFill>
                  <bgColor rgb="FF99CCFF"/>
                </patternFill>
              </fill>
            </x14:dxf>
          </x14:cfRule>
          <xm:sqref>C19:J49</xm:sqref>
        </x14:conditionalFormatting>
        <x14:conditionalFormatting xmlns:xm="http://schemas.microsoft.com/office/excel/2006/main">
          <x14:cfRule type="expression" priority="9" id="{251FCF2A-261A-4B63-9C16-D644D2A52036}">
            <xm:f>AND($B19=Ref!$A$7, $H$56&gt;0.00001)</xm:f>
            <x14:dxf>
              <font>
                <b val="0"/>
                <i val="0"/>
                <color theme="1"/>
              </font>
            </x14:dxf>
          </x14:cfRule>
          <x14:cfRule type="expression" priority="10" id="{A2C21B57-7658-4801-A6A2-06FBEE729BFF}">
            <xm:f>AND($B19=Ref!$A$8, $H$57&gt;0.00001)</xm:f>
            <x14:dxf>
              <font>
                <b val="0"/>
                <i val="0"/>
              </font>
            </x14:dxf>
          </x14:cfRule>
          <xm:sqref>C19:I49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8C131ED0-F905-4FC7-9CC2-4E55DB39AC9A}">
          <x14:formula1>
            <xm:f>NOT(OFFSET(C19,0,2-COLUMN(C19))=Ref!$A$7)</xm:f>
          </x14:formula1>
          <xm:sqref>C19:E49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pageSetUpPr fitToPage="1"/>
  </sheetPr>
  <dimension ref="A1:N62"/>
  <sheetViews>
    <sheetView zoomScaleNormal="100" workbookViewId="0">
      <selection activeCell="A4" sqref="A4:E6"/>
    </sheetView>
  </sheetViews>
  <sheetFormatPr defaultColWidth="11.54296875" defaultRowHeight="13" x14ac:dyDescent="0.3"/>
  <cols>
    <col min="1" max="1" width="5.54296875" style="4" customWidth="1"/>
    <col min="2" max="2" width="9.08984375" style="5" customWidth="1"/>
    <col min="3" max="3" width="9.54296875" style="5" customWidth="1"/>
    <col min="4" max="4" width="9.08984375" style="5" customWidth="1"/>
    <col min="5" max="5" width="8.54296875" style="2" customWidth="1"/>
    <col min="6" max="6" width="7.08984375" style="2" customWidth="1"/>
    <col min="7" max="7" width="3.1796875" style="2" customWidth="1"/>
    <col min="8" max="8" width="9.08984375" style="2" customWidth="1"/>
    <col min="9" max="9" width="9.90625" style="2" customWidth="1"/>
    <col min="10" max="10" width="10.36328125" style="2" customWidth="1"/>
    <col min="11" max="11" width="2.90625" style="2" customWidth="1"/>
    <col min="12" max="12" width="8.90625" style="2" customWidth="1"/>
    <col min="13" max="13" width="16.36328125" style="188" customWidth="1"/>
    <col min="14" max="14" width="18.1796875" style="189" customWidth="1"/>
    <col min="15" max="16384" width="11.54296875" style="2"/>
  </cols>
  <sheetData>
    <row r="1" spans="1:14" ht="15.5" x14ac:dyDescent="0.35">
      <c r="A1" s="289" t="s">
        <v>53</v>
      </c>
      <c r="B1" s="289"/>
      <c r="C1" s="289"/>
      <c r="D1" s="289"/>
      <c r="E1" s="289"/>
      <c r="F1" s="1"/>
      <c r="G1" s="277" t="s">
        <v>9</v>
      </c>
      <c r="H1" s="277"/>
      <c r="I1" s="277"/>
      <c r="J1" s="277"/>
    </row>
    <row r="2" spans="1:14" ht="15.5" x14ac:dyDescent="0.35">
      <c r="A2" s="289"/>
      <c r="B2" s="289"/>
      <c r="C2" s="289"/>
      <c r="D2" s="289"/>
      <c r="E2" s="289"/>
      <c r="F2" s="3"/>
      <c r="G2" s="277"/>
      <c r="H2" s="277"/>
      <c r="I2" s="277"/>
      <c r="J2" s="277"/>
    </row>
    <row r="3" spans="1:14" x14ac:dyDescent="0.3">
      <c r="A3" s="288" t="s">
        <v>11</v>
      </c>
      <c r="B3" s="288"/>
      <c r="C3" s="288"/>
      <c r="D3" s="288"/>
      <c r="E3" s="288"/>
      <c r="G3" s="277"/>
      <c r="H3" s="277"/>
      <c r="I3" s="277"/>
      <c r="J3" s="277"/>
    </row>
    <row r="4" spans="1:14" ht="13.25" customHeight="1" x14ac:dyDescent="0.3">
      <c r="A4" s="278" t="s">
        <v>5</v>
      </c>
      <c r="B4" s="278"/>
      <c r="C4" s="278"/>
      <c r="D4" s="278"/>
      <c r="E4" s="278"/>
      <c r="F4" s="6"/>
      <c r="G4" s="277"/>
      <c r="H4" s="277"/>
      <c r="I4" s="277"/>
      <c r="J4" s="277"/>
    </row>
    <row r="5" spans="1:14" ht="6" customHeight="1" x14ac:dyDescent="0.3">
      <c r="A5" s="278"/>
      <c r="B5" s="278"/>
      <c r="C5" s="278"/>
      <c r="D5" s="278"/>
      <c r="E5" s="278"/>
      <c r="F5" s="6"/>
      <c r="G5" s="277"/>
      <c r="H5" s="277"/>
      <c r="I5" s="277"/>
      <c r="J5" s="277"/>
    </row>
    <row r="6" spans="1:14" ht="13.25" customHeight="1" x14ac:dyDescent="0.3">
      <c r="A6" s="278"/>
      <c r="B6" s="278"/>
      <c r="C6" s="278"/>
      <c r="D6" s="278"/>
      <c r="E6" s="278"/>
      <c r="F6" s="6"/>
      <c r="G6" s="277"/>
      <c r="H6" s="277"/>
      <c r="I6" s="277"/>
      <c r="J6" s="277"/>
    </row>
    <row r="7" spans="1:14" ht="13.25" customHeight="1" x14ac:dyDescent="0.3">
      <c r="A7" s="6"/>
      <c r="B7" s="6"/>
      <c r="C7" s="6"/>
      <c r="D7" s="6"/>
      <c r="E7" s="6"/>
      <c r="F7" s="6"/>
      <c r="G7" s="277"/>
      <c r="H7" s="277"/>
      <c r="I7" s="277"/>
      <c r="J7" s="277"/>
    </row>
    <row r="8" spans="1:14" ht="6" customHeight="1" thickBot="1" x14ac:dyDescent="0.35">
      <c r="A8" s="7"/>
      <c r="B8" s="8"/>
      <c r="C8" s="8"/>
      <c r="D8" s="8"/>
      <c r="E8" s="9"/>
      <c r="F8" s="9"/>
      <c r="G8" s="9"/>
      <c r="H8" s="9"/>
      <c r="I8" s="10"/>
      <c r="J8" s="10"/>
      <c r="K8" s="11"/>
      <c r="L8" s="12"/>
    </row>
    <row r="9" spans="1:14" ht="6" customHeight="1" x14ac:dyDescent="0.3">
      <c r="A9" s="13"/>
      <c r="B9" s="14"/>
      <c r="C9" s="14"/>
      <c r="D9" s="14"/>
      <c r="E9" s="15"/>
      <c r="F9" s="15"/>
      <c r="G9" s="15"/>
      <c r="H9" s="15"/>
      <c r="I9" s="16"/>
      <c r="J9" s="16"/>
      <c r="K9" s="17"/>
      <c r="L9" s="18"/>
    </row>
    <row r="10" spans="1:14" x14ac:dyDescent="0.3">
      <c r="A10" s="119"/>
      <c r="B10" s="120"/>
      <c r="C10" s="120"/>
      <c r="D10" s="120"/>
      <c r="E10" s="121"/>
      <c r="F10" s="121"/>
      <c r="G10" s="121"/>
      <c r="H10" s="105"/>
      <c r="I10" s="122"/>
      <c r="J10" s="122"/>
      <c r="K10" s="123"/>
      <c r="L10" s="124"/>
    </row>
    <row r="11" spans="1:14" x14ac:dyDescent="0.3">
      <c r="A11" s="290" t="s">
        <v>6</v>
      </c>
      <c r="B11" s="290"/>
      <c r="C11" s="125" t="str">
        <f>Jul!C11</f>
        <v>ATHENE, Pallas</v>
      </c>
      <c r="D11" s="126"/>
      <c r="E11" s="127"/>
      <c r="F11" s="128"/>
      <c r="G11" s="128" t="s">
        <v>8</v>
      </c>
      <c r="H11" s="129"/>
      <c r="I11" s="130">
        <f>DATE(J11,8,1)</f>
        <v>45870</v>
      </c>
      <c r="J11" s="131">
        <f>Jan!J11</f>
        <v>2025</v>
      </c>
      <c r="K11" s="132"/>
      <c r="L11" s="133"/>
    </row>
    <row r="12" spans="1:14" x14ac:dyDescent="0.3">
      <c r="A12" s="134"/>
      <c r="B12" s="124"/>
      <c r="C12" s="135"/>
      <c r="D12" s="136"/>
      <c r="E12" s="128"/>
      <c r="F12" s="128"/>
      <c r="G12" s="121"/>
      <c r="H12" s="105"/>
      <c r="I12" s="122"/>
      <c r="J12" s="122"/>
      <c r="K12" s="123"/>
      <c r="L12" s="124"/>
    </row>
    <row r="13" spans="1:14" x14ac:dyDescent="0.3">
      <c r="A13" s="290" t="s">
        <v>7</v>
      </c>
      <c r="B13" s="290"/>
      <c r="C13" s="125" t="str">
        <f>Jul!C13</f>
        <v>Geschäftsstelle</v>
      </c>
      <c r="D13" s="139"/>
      <c r="E13" s="127"/>
      <c r="F13" s="140"/>
      <c r="G13" s="140"/>
      <c r="H13" s="129"/>
      <c r="I13" s="126"/>
      <c r="J13" s="127"/>
      <c r="K13" s="132"/>
      <c r="L13" s="133"/>
    </row>
    <row r="14" spans="1:14" ht="13.5" thickBot="1" x14ac:dyDescent="0.35">
      <c r="A14" s="134"/>
      <c r="B14" s="141"/>
      <c r="C14" s="141"/>
      <c r="D14" s="141"/>
      <c r="E14" s="105"/>
      <c r="F14" s="105"/>
      <c r="G14" s="105"/>
      <c r="H14" s="105"/>
      <c r="I14" s="105"/>
      <c r="J14" s="105"/>
      <c r="K14" s="123"/>
      <c r="L14" s="124"/>
    </row>
    <row r="15" spans="1:14" ht="13.25" customHeight="1" x14ac:dyDescent="0.3">
      <c r="A15" s="282"/>
      <c r="B15" s="282" t="s">
        <v>14</v>
      </c>
      <c r="C15" s="282" t="s">
        <v>18</v>
      </c>
      <c r="D15" s="282" t="s">
        <v>19</v>
      </c>
      <c r="E15" s="282" t="s">
        <v>16</v>
      </c>
      <c r="F15" s="283" t="s">
        <v>44</v>
      </c>
      <c r="G15" s="283"/>
      <c r="H15" s="279" t="s">
        <v>45</v>
      </c>
      <c r="I15" s="285" t="s">
        <v>0</v>
      </c>
      <c r="J15" s="285"/>
      <c r="K15" s="244" t="s">
        <v>43</v>
      </c>
      <c r="L15" s="245"/>
    </row>
    <row r="16" spans="1:14" ht="16" thickBot="1" x14ac:dyDescent="0.4">
      <c r="A16" s="282"/>
      <c r="B16" s="282"/>
      <c r="C16" s="282"/>
      <c r="D16" s="282"/>
      <c r="E16" s="282"/>
      <c r="F16" s="283"/>
      <c r="G16" s="283"/>
      <c r="H16" s="280"/>
      <c r="I16" s="84" t="s">
        <v>1</v>
      </c>
      <c r="J16" s="84" t="s">
        <v>2</v>
      </c>
      <c r="K16" s="246"/>
      <c r="L16" s="247"/>
      <c r="N16" s="184"/>
    </row>
    <row r="17" spans="1:14" ht="13.5" thickBot="1" x14ac:dyDescent="0.35">
      <c r="A17" s="282"/>
      <c r="B17" s="282"/>
      <c r="C17" s="282"/>
      <c r="D17" s="282"/>
      <c r="E17" s="282"/>
      <c r="F17" s="283"/>
      <c r="G17" s="283"/>
      <c r="H17" s="280"/>
      <c r="I17" s="286">
        <f>IF(Mantelbogen!D26=I11,Mantelbogen!C28,Jul!I53)</f>
        <v>0.60416666666666774</v>
      </c>
      <c r="J17" s="287" t="str">
        <f>IF(Mantelbogen!D26=I11,Mantelbogen!D28,Jul!J53)</f>
        <v/>
      </c>
      <c r="K17" s="248" t="str">
        <f>IF(I17/H58 &gt; 1, I17/H58, " " )</f>
        <v xml:space="preserve"> </v>
      </c>
      <c r="L17" s="249"/>
      <c r="N17" s="185"/>
    </row>
    <row r="18" spans="1:14" ht="13.5" thickBot="1" x14ac:dyDescent="0.35">
      <c r="A18" s="282"/>
      <c r="B18" s="282"/>
      <c r="C18" s="282"/>
      <c r="D18" s="282"/>
      <c r="E18" s="282"/>
      <c r="F18" s="283"/>
      <c r="G18" s="283"/>
      <c r="H18" s="281"/>
      <c r="I18" s="286"/>
      <c r="J18" s="287"/>
      <c r="K18" s="250"/>
      <c r="L18" s="251"/>
      <c r="N18" s="185"/>
    </row>
    <row r="19" spans="1:14" ht="17.399999999999999" customHeight="1" x14ac:dyDescent="0.55000000000000004">
      <c r="A19" s="86">
        <v>1</v>
      </c>
      <c r="B19" s="85" t="str">
        <f>TEXT(DATE(J$11,MONTH(I$11),A19),Textcode)</f>
        <v>Freitag</v>
      </c>
      <c r="C19" s="87">
        <v>0.35416666666666669</v>
      </c>
      <c r="D19" s="213">
        <f t="array" ref="D19">IF(AND(COUNT(SEARCH(Sonderarbeit,$N19,1))&gt;=1,$B19=Ref!$A$7),Ref!$K$1,Ref!$K$2)</f>
        <v>0.70833333333333337</v>
      </c>
      <c r="E19" s="213">
        <f t="array" ref="E19">IF(AND(COUNT(SEARCH(Sonderarbeit,$N19))&gt;=1,$B19=Ref!$A$7),,Ref!$K$3)</f>
        <v>2.0833333333333332E-2</v>
      </c>
      <c r="F19" s="270">
        <f>IF(ISTEXT(C19),,D19-C19-E19)</f>
        <v>0.33333333333333337</v>
      </c>
      <c r="G19" s="271"/>
      <c r="H19" s="88">
        <f t="shared" ref="H19:H23" si="0">IF(AND(ISTEXT(C19),ISERR(SEARCH("ausgleich",C19,1))),,INDEX(H$51:H$58,WEEKDAY(DATE(J$11,MONTH(I$11),A19),2),1,1))</f>
        <v>0.3125</v>
      </c>
      <c r="I19" s="89">
        <f>IF(AND(F19&gt;H19,OR(AND(OR($B19&lt;&gt;Ref!$A$7,$H$56&gt;0),OR($B19&lt;&gt;Ref!$A$8,$H$57&gt;0)),COUNT(SEARCH(Sonderarbeit,$N19))&gt;=1),ISNONTEXT(C19),C19&lt;&gt;""),F19-H19,"")</f>
        <v>2.083333333333337E-2</v>
      </c>
      <c r="J19" s="90" t="str">
        <f>IF(OR(AND(F19&lt;H19,OR(AND(OR($B19&lt;&gt;Ref!$A$7,$H$56&gt;0),OR($B19&lt;&gt;Ref!$A$8,$H$57&gt;0)),COUNT(SEARCH(Sonderarbeit,$N19))&gt;=1)),C19="Ausgleich"),H19-F19,"")</f>
        <v/>
      </c>
      <c r="K19" s="170" t="str">
        <f>IF(AND(B19=Ref!$A$8,SUM(I19:I19)&lt;SUM(J19:J19)),"-","")</f>
        <v/>
      </c>
      <c r="L19" s="171" t="str">
        <f>IF(B19=Ref!$A$8,ABS(SUM(I19:I19)-SUM(J19:J19)),"")</f>
        <v/>
      </c>
      <c r="M19" s="183"/>
      <c r="N19" s="183"/>
    </row>
    <row r="20" spans="1:14" ht="17.399999999999999" customHeight="1" x14ac:dyDescent="0.55000000000000004">
      <c r="A20" s="86">
        <v>2</v>
      </c>
      <c r="B20" s="85" t="str">
        <f t="shared" ref="B20:B49" si="1">TEXT(DATE(J$11,MONTH(I$11),A20),Textcode)</f>
        <v>Samstag</v>
      </c>
      <c r="C20" s="87">
        <v>0.35416666666666669</v>
      </c>
      <c r="D20" s="213">
        <f t="array" ref="D20">IF(AND(COUNT(SEARCH(Sonderarbeit,$N20,1))&gt;=1,$B20=Ref!$A$7),Ref!$K$1,Ref!$K$2)</f>
        <v>0.70833333333333337</v>
      </c>
      <c r="E20" s="213">
        <f t="array" ref="E20">IF(AND(COUNT(SEARCH(Sonderarbeit,$N20))&gt;=1,$B20=Ref!$A$7),,Ref!$K$3)</f>
        <v>2.0833333333333332E-2</v>
      </c>
      <c r="F20" s="270">
        <f>IF(ISTEXT(C20),,D20-C20-E20)</f>
        <v>0.33333333333333337</v>
      </c>
      <c r="G20" s="271"/>
      <c r="H20" s="88">
        <f t="shared" si="0"/>
        <v>0</v>
      </c>
      <c r="I20" s="89" t="str">
        <f>IF(AND(F20&gt;H20,OR(AND(OR($B20&lt;&gt;Ref!$A$7,$H$56&gt;0),OR($B20&lt;&gt;Ref!$A$8,$H$57&gt;0)),COUNT(SEARCH(Sonderarbeit,$N20))&gt;=1),ISNONTEXT(C20),C20&lt;&gt;""),F20-H20,"")</f>
        <v/>
      </c>
      <c r="J20" s="90" t="str">
        <f>IF(OR(AND(F20&lt;H20,OR(AND(OR($B20&lt;&gt;Ref!$A$7,$H$56&gt;0),OR($B20&lt;&gt;Ref!$A$8,$H$57&gt;0)),COUNT(SEARCH(Sonderarbeit,$N20))&gt;=1)),C20="Ausgleich"),H20-F20,"")</f>
        <v/>
      </c>
      <c r="K20" s="91" t="str">
        <f>IF(AND(B20=Ref!$A$8,SUM(I19:I20)&lt;SUM(J19:J20)),"-","")</f>
        <v/>
      </c>
      <c r="L20" s="92" t="str">
        <f>IF(B20=Ref!$A$8,ABS(SUM(I19:I20)-SUM(J19:J20)),"")</f>
        <v/>
      </c>
      <c r="N20" s="183"/>
    </row>
    <row r="21" spans="1:14" ht="17.399999999999999" customHeight="1" x14ac:dyDescent="0.55000000000000004">
      <c r="A21" s="93">
        <v>3</v>
      </c>
      <c r="B21" s="85" t="str">
        <f t="shared" si="1"/>
        <v>Sonntag</v>
      </c>
      <c r="C21" s="87">
        <v>0.35416666666666669</v>
      </c>
      <c r="D21" s="213">
        <f t="array" ref="D21">IF(AND(COUNT(SEARCH(Sonderarbeit,$N21,1))&gt;=1,$B21=Ref!$A$7),Ref!$K$1,Ref!$K$2)</f>
        <v>0.70833333333333337</v>
      </c>
      <c r="E21" s="213">
        <f t="array" ref="E21">IF(AND(COUNT(SEARCH(Sonderarbeit,$N21))&gt;=1,$B21=Ref!$A$7),,Ref!$K$3)</f>
        <v>2.0833333333333332E-2</v>
      </c>
      <c r="F21" s="270">
        <f t="shared" ref="F21:F49" si="2">IF(ISTEXT(C21),,D21-C21-E21)</f>
        <v>0.33333333333333337</v>
      </c>
      <c r="G21" s="271"/>
      <c r="H21" s="88">
        <f t="shared" si="0"/>
        <v>0</v>
      </c>
      <c r="I21" s="89" t="str">
        <f>IF(AND(F21&gt;H21,OR(AND(OR($B21&lt;&gt;Ref!$A$7,$H$56&gt;0),OR($B21&lt;&gt;Ref!$A$8,$H$57&gt;0)),COUNT(SEARCH(Sonderarbeit,$N21))&gt;=1),ISNONTEXT(C21),C21&lt;&gt;""),F21-H21,"")</f>
        <v/>
      </c>
      <c r="J21" s="90" t="str">
        <f>IF(OR(AND(F21&lt;H21,OR(AND(OR($B21&lt;&gt;Ref!$A$7,$H$56&gt;0),OR($B21&lt;&gt;Ref!$A$8,$H$57&gt;0)),COUNT(SEARCH(Sonderarbeit,$N21))&gt;=1)),C21="Ausgleich"),H21-F21,"")</f>
        <v/>
      </c>
      <c r="K21" s="91" t="str">
        <f>IF(AND(B21=Ref!$A$8,SUM(I19:I21)&lt;SUM(J19:J21)),"-","")</f>
        <v/>
      </c>
      <c r="L21" s="92">
        <f>IF(B21=Ref!$A$8,ABS(SUM(I19:I21)-SUM(J19:J21)),"")</f>
        <v>2.083333333333337E-2</v>
      </c>
      <c r="N21" s="183"/>
    </row>
    <row r="22" spans="1:14" ht="17.399999999999999" customHeight="1" x14ac:dyDescent="0.55000000000000004">
      <c r="A22" s="94">
        <v>4</v>
      </c>
      <c r="B22" s="85" t="str">
        <f t="shared" si="1"/>
        <v>Montag</v>
      </c>
      <c r="C22" s="87">
        <v>0.35416666666666669</v>
      </c>
      <c r="D22" s="213">
        <f t="array" ref="D22">IF(AND(COUNT(SEARCH(Sonderarbeit,$N22,1))&gt;=1,$B22=Ref!$A$7),Ref!$K$1,Ref!$K$2)</f>
        <v>0.70833333333333337</v>
      </c>
      <c r="E22" s="213">
        <f t="array" ref="E22">IF(AND(COUNT(SEARCH(Sonderarbeit,$N22))&gt;=1,$B22=Ref!$A$7),,Ref!$K$3)</f>
        <v>2.0833333333333332E-2</v>
      </c>
      <c r="F22" s="270">
        <f t="shared" si="2"/>
        <v>0.33333333333333337</v>
      </c>
      <c r="G22" s="271"/>
      <c r="H22" s="88">
        <f t="shared" si="0"/>
        <v>0.33333333333333331</v>
      </c>
      <c r="I22" s="89" t="str">
        <f>IF(AND(F22&gt;H22,OR(AND(OR($B22&lt;&gt;Ref!$A$7,$H$56&gt;0),OR($B22&lt;&gt;Ref!$A$8,$H$57&gt;0)),COUNT(SEARCH(Sonderarbeit,$N22))&gt;=1),ISNONTEXT(C22),C22&lt;&gt;""),F22-H22,"")</f>
        <v/>
      </c>
      <c r="J22" s="90" t="str">
        <f>IF(OR(AND(F22&lt;H22,OR(AND(OR($B22&lt;&gt;Ref!$A$7,$H$56&gt;0),OR($B22&lt;&gt;Ref!$A$8,$H$57&gt;0)),COUNT(SEARCH(Sonderarbeit,$N22))&gt;=1)),C22="Ausgleich"),H22-F22,"")</f>
        <v/>
      </c>
      <c r="K22" s="91" t="str">
        <f>IF(AND(B22=Ref!$A$8,SUM(I19:I22)&lt;SUM(J19:J22)),"-","")</f>
        <v/>
      </c>
      <c r="L22" s="92" t="str">
        <f>IF(B22=Ref!$A$8,ABS(SUM(I19:I22)-SUM(J19:J22)),"")</f>
        <v/>
      </c>
    </row>
    <row r="23" spans="1:14" ht="17.399999999999999" customHeight="1" x14ac:dyDescent="0.55000000000000004">
      <c r="A23" s="94">
        <v>5</v>
      </c>
      <c r="B23" s="85" t="str">
        <f t="shared" si="1"/>
        <v>Dienstag</v>
      </c>
      <c r="C23" s="87">
        <v>0.35416666666666669</v>
      </c>
      <c r="D23" s="213">
        <f t="array" ref="D23">IF(AND(COUNT(SEARCH(Sonderarbeit,$N23,1))&gt;=1,$B23=Ref!$A$7),Ref!$K$1,Ref!$K$2)</f>
        <v>0.70833333333333337</v>
      </c>
      <c r="E23" s="213">
        <f t="array" ref="E23">IF(AND(COUNT(SEARCH(Sonderarbeit,$N23))&gt;=1,$B23=Ref!$A$7),,Ref!$K$3)</f>
        <v>2.0833333333333332E-2</v>
      </c>
      <c r="F23" s="270">
        <f t="shared" si="2"/>
        <v>0.33333333333333337</v>
      </c>
      <c r="G23" s="271"/>
      <c r="H23" s="88">
        <f t="shared" si="0"/>
        <v>0.33333333333333331</v>
      </c>
      <c r="I23" s="89" t="str">
        <f>IF(AND(F23&gt;H23,OR(AND(OR($B23&lt;&gt;Ref!$A$7,$H$56&gt;0),OR($B23&lt;&gt;Ref!$A$8,$H$57&gt;0)),COUNT(SEARCH(Sonderarbeit,$N23))&gt;=1),ISNONTEXT(C23),C23&lt;&gt;""),F23-H23,"")</f>
        <v/>
      </c>
      <c r="J23" s="90" t="str">
        <f>IF(OR(AND(F23&lt;H23,OR(AND(OR($B23&lt;&gt;Ref!$A$7,$H$56&gt;0),OR($B23&lt;&gt;Ref!$A$8,$H$57&gt;0)),COUNT(SEARCH(Sonderarbeit,$N23))&gt;=1)),C23="Ausgleich"),H23-F23,"")</f>
        <v/>
      </c>
      <c r="K23" s="91" t="str">
        <f>IF(AND(B23=Ref!$A$8,SUM(I19:I23)&lt;SUM(J19:J23)),"-","")</f>
        <v/>
      </c>
      <c r="L23" s="92" t="str">
        <f>IF(B23=Ref!$A$8,ABS(SUM(I19:I23)-SUM(J19:J23)),"")</f>
        <v/>
      </c>
      <c r="N23" s="183"/>
    </row>
    <row r="24" spans="1:14" ht="17.399999999999999" customHeight="1" x14ac:dyDescent="0.55000000000000004">
      <c r="A24" s="86">
        <v>6</v>
      </c>
      <c r="B24" s="85" t="str">
        <f t="shared" si="1"/>
        <v>Mittwoch</v>
      </c>
      <c r="C24" s="87">
        <v>0.35416666666666669</v>
      </c>
      <c r="D24" s="213">
        <f t="array" ref="D24">IF(AND(COUNT(SEARCH(Sonderarbeit,$N24,1))&gt;=1,$B24=Ref!$A$7),Ref!$K$1,Ref!$K$2)</f>
        <v>0.70833333333333337</v>
      </c>
      <c r="E24" s="213">
        <f t="array" ref="E24">IF(AND(COUNT(SEARCH(Sonderarbeit,$N24))&gt;=1,$B24=Ref!$A$7),,Ref!$K$3)</f>
        <v>2.0833333333333332E-2</v>
      </c>
      <c r="F24" s="270">
        <f t="shared" si="2"/>
        <v>0.33333333333333337</v>
      </c>
      <c r="G24" s="271"/>
      <c r="H24" s="88">
        <f>IF(AND(ISTEXT(C24),ISERR(SEARCH("ausgleich",C24,1))),,INDEX(H$51:H$58,WEEKDAY(DATE(J$11,MONTH(I$11),A24),2),1,1))</f>
        <v>0.33333333333333331</v>
      </c>
      <c r="I24" s="89" t="str">
        <f>IF(AND(F24&gt;H24,OR(AND(OR($B24&lt;&gt;Ref!$A$7,$H$56&gt;0),OR($B24&lt;&gt;Ref!$A$8,$H$57&gt;0)),COUNT(SEARCH(Sonderarbeit,$N24))&gt;=1),ISNONTEXT(C24),C24&lt;&gt;""),F24-H24,"")</f>
        <v/>
      </c>
      <c r="J24" s="90" t="str">
        <f>IF(OR(AND(F24&lt;H24,OR(AND(OR($B24&lt;&gt;Ref!$A$7,$H$56&gt;0),OR($B24&lt;&gt;Ref!$A$8,$H$57&gt;0)),COUNT(SEARCH(Sonderarbeit,$N24))&gt;=1)),C24="Ausgleich"),H24-F24,"")</f>
        <v/>
      </c>
      <c r="K24" s="91" t="str">
        <f>IF(AND(B24=Ref!$A$8,SUM(I19:I24)&lt;SUM(J19:J24)),"-","")</f>
        <v/>
      </c>
      <c r="L24" s="92" t="str">
        <f>IF(B24=Ref!$A$8,ABS(SUM(I19:I24)-SUM(J19:J24)),"")</f>
        <v/>
      </c>
      <c r="N24" s="183"/>
    </row>
    <row r="25" spans="1:14" ht="17.399999999999999" customHeight="1" x14ac:dyDescent="0.55000000000000004">
      <c r="A25" s="94">
        <v>7</v>
      </c>
      <c r="B25" s="85" t="str">
        <f t="shared" si="1"/>
        <v>Donnerstag</v>
      </c>
      <c r="C25" s="87">
        <v>0.35416666666666669</v>
      </c>
      <c r="D25" s="213">
        <f t="array" ref="D25">IF(AND(COUNT(SEARCH(Sonderarbeit,$N25,1))&gt;=1,$B25=Ref!$A$7),Ref!$K$1,Ref!$K$2)</f>
        <v>0.70833333333333337</v>
      </c>
      <c r="E25" s="213">
        <f t="array" ref="E25">IF(AND(COUNT(SEARCH(Sonderarbeit,$N25))&gt;=1,$B25=Ref!$A$7),,Ref!$K$3)</f>
        <v>2.0833333333333332E-2</v>
      </c>
      <c r="F25" s="270">
        <f t="shared" si="2"/>
        <v>0.33333333333333337</v>
      </c>
      <c r="G25" s="271"/>
      <c r="H25" s="88">
        <f t="shared" ref="H25:H49" si="3">IF(AND(ISTEXT(C25),ISERR(SEARCH("ausgleich",C25,1))),,INDEX(H$51:H$58,WEEKDAY(DATE(J$11,MONTH(I$11),A25),2),1,1))</f>
        <v>0.33333333333333331</v>
      </c>
      <c r="I25" s="89" t="str">
        <f>IF(AND(F25&gt;H25,OR(AND(OR($B25&lt;&gt;Ref!$A$7,$H$56&gt;0),OR($B25&lt;&gt;Ref!$A$8,$H$57&gt;0)),COUNT(SEARCH(Sonderarbeit,$N25))&gt;=1),ISNONTEXT(C25),C25&lt;&gt;""),F25-H25,"")</f>
        <v/>
      </c>
      <c r="J25" s="90" t="str">
        <f>IF(OR(AND(F25&lt;H25,OR(AND(OR($B25&lt;&gt;Ref!$A$7,$H$56&gt;0),OR($B25&lt;&gt;Ref!$A$8,$H$57&gt;0)),COUNT(SEARCH(Sonderarbeit,$N25))&gt;=1)),C25="Ausgleich"),H25-F25,"")</f>
        <v/>
      </c>
      <c r="K25" s="91" t="str">
        <f>IF(AND(B25=Ref!$A$8,SUM(I19:I25)&lt;SUM(J19:J25)),"-","")</f>
        <v/>
      </c>
      <c r="L25" s="92" t="str">
        <f>IF(B25=Ref!$A$8,ABS(SUM(I19:I25)-SUM(J19:J25)),"")</f>
        <v/>
      </c>
      <c r="N25" s="183"/>
    </row>
    <row r="26" spans="1:14" ht="17.399999999999999" customHeight="1" x14ac:dyDescent="0.55000000000000004">
      <c r="A26" s="94">
        <v>8</v>
      </c>
      <c r="B26" s="85" t="str">
        <f t="shared" si="1"/>
        <v>Freitag</v>
      </c>
      <c r="C26" s="87">
        <v>0.35416666666666669</v>
      </c>
      <c r="D26" s="213">
        <f t="array" ref="D26">IF(AND(COUNT(SEARCH(Sonderarbeit,$N26,1))&gt;=1,$B26=Ref!$A$7),Ref!$K$1,Ref!$K$2)</f>
        <v>0.70833333333333337</v>
      </c>
      <c r="E26" s="213">
        <f t="array" ref="E26">IF(AND(COUNT(SEARCH(Sonderarbeit,$N26))&gt;=1,$B26=Ref!$A$7),,Ref!$K$3)</f>
        <v>2.0833333333333332E-2</v>
      </c>
      <c r="F26" s="270">
        <f t="shared" si="2"/>
        <v>0.33333333333333337</v>
      </c>
      <c r="G26" s="271"/>
      <c r="H26" s="88">
        <f t="shared" si="3"/>
        <v>0.3125</v>
      </c>
      <c r="I26" s="89">
        <f>IF(AND(F26&gt;H26,OR(AND(OR($B26&lt;&gt;Ref!$A$7,$H$56&gt;0),OR($B26&lt;&gt;Ref!$A$8,$H$57&gt;0)),COUNT(SEARCH(Sonderarbeit,$N26))&gt;=1),ISNONTEXT(C26),C26&lt;&gt;""),F26-H26,"")</f>
        <v>2.083333333333337E-2</v>
      </c>
      <c r="J26" s="90" t="str">
        <f>IF(OR(AND(F26&lt;H26,OR(AND(OR($B26&lt;&gt;Ref!$A$7,$H$56&gt;0),OR($B26&lt;&gt;Ref!$A$8,$H$57&gt;0)),COUNT(SEARCH(Sonderarbeit,$N26))&gt;=1)),C26="Ausgleich"),H26-F26,"")</f>
        <v/>
      </c>
      <c r="K26" s="91" t="str">
        <f>IF(AND(B26=Ref!$A$8,SUM(I20:I26)&lt;SUM(J20:J26)),"-","")</f>
        <v/>
      </c>
      <c r="L26" s="92" t="str">
        <f>IF(B26=Ref!$A$8,ABS(SUM(I20:I26)-SUM(J20:J26)),"")</f>
        <v/>
      </c>
      <c r="N26" s="183"/>
    </row>
    <row r="27" spans="1:14" ht="17.399999999999999" customHeight="1" x14ac:dyDescent="0.55000000000000004">
      <c r="A27" s="86">
        <v>9</v>
      </c>
      <c r="B27" s="85" t="str">
        <f t="shared" si="1"/>
        <v>Samstag</v>
      </c>
      <c r="C27" s="87">
        <v>0.35416666666666669</v>
      </c>
      <c r="D27" s="213">
        <f t="array" ref="D27">IF(AND(COUNT(SEARCH(Sonderarbeit,$N27,1))&gt;=1,$B27=Ref!$A$7),Ref!$K$1,Ref!$K$2)</f>
        <v>0.70833333333333337</v>
      </c>
      <c r="E27" s="213">
        <f t="array" ref="E27">IF(AND(COUNT(SEARCH(Sonderarbeit,$N27))&gt;=1,$B27=Ref!$A$7),,Ref!$K$3)</f>
        <v>2.0833333333333332E-2</v>
      </c>
      <c r="F27" s="270">
        <f t="shared" si="2"/>
        <v>0.33333333333333337</v>
      </c>
      <c r="G27" s="271"/>
      <c r="H27" s="88">
        <f t="shared" si="3"/>
        <v>0</v>
      </c>
      <c r="I27" s="89" t="str">
        <f>IF(AND(F27&gt;H27,OR(AND(OR($B27&lt;&gt;Ref!$A$7,$H$56&gt;0),OR($B27&lt;&gt;Ref!$A$8,$H$57&gt;0)),COUNT(SEARCH(Sonderarbeit,$N27))&gt;=1),ISNONTEXT(C27),C27&lt;&gt;""),F27-H27,"")</f>
        <v/>
      </c>
      <c r="J27" s="90" t="str">
        <f>IF(OR(AND(F27&lt;H27,OR(AND(OR($B27&lt;&gt;Ref!$A$7,$H$56&gt;0),OR($B27&lt;&gt;Ref!$A$8,$H$57&gt;0)),COUNT(SEARCH(Sonderarbeit,$N27))&gt;=1)),C27="Ausgleich"),H27-F27,"")</f>
        <v/>
      </c>
      <c r="K27" s="91" t="str">
        <f>IF(AND(B27=Ref!$A$8,SUM(I21:I27)&lt;SUM(J21:J27)),"-","")</f>
        <v/>
      </c>
      <c r="L27" s="92" t="str">
        <f>IF(B27=Ref!$A$8,ABS(SUM(I21:I27)-SUM(J21:J27)),"")</f>
        <v/>
      </c>
      <c r="N27" s="183"/>
    </row>
    <row r="28" spans="1:14" ht="17.399999999999999" customHeight="1" x14ac:dyDescent="0.55000000000000004">
      <c r="A28" s="86">
        <v>10</v>
      </c>
      <c r="B28" s="85" t="str">
        <f t="shared" si="1"/>
        <v>Sonntag</v>
      </c>
      <c r="C28" s="87">
        <v>0.35416666666666669</v>
      </c>
      <c r="D28" s="213">
        <f t="array" ref="D28">IF(AND(COUNT(SEARCH(Sonderarbeit,$N28,1))&gt;=1,$B28=Ref!$A$7),Ref!$K$1,Ref!$K$2)</f>
        <v>0.70833333333333337</v>
      </c>
      <c r="E28" s="213">
        <f t="array" ref="E28">IF(AND(COUNT(SEARCH(Sonderarbeit,$N28))&gt;=1,$B28=Ref!$A$7),,Ref!$K$3)</f>
        <v>2.0833333333333332E-2</v>
      </c>
      <c r="F28" s="270">
        <f t="shared" si="2"/>
        <v>0.33333333333333337</v>
      </c>
      <c r="G28" s="271"/>
      <c r="H28" s="88">
        <f t="shared" si="3"/>
        <v>0</v>
      </c>
      <c r="I28" s="89" t="str">
        <f>IF(AND(F28&gt;H28,OR(AND(OR($B28&lt;&gt;Ref!$A$7,$H$56&gt;0),OR($B28&lt;&gt;Ref!$A$8,$H$57&gt;0)),COUNT(SEARCH(Sonderarbeit,$N28))&gt;=1),ISNONTEXT(C28),C28&lt;&gt;""),F28-H28,"")</f>
        <v/>
      </c>
      <c r="J28" s="90" t="str">
        <f>IF(OR(AND(F28&lt;H28,OR(AND(OR($B28&lt;&gt;Ref!$A$7,$H$56&gt;0),OR($B28&lt;&gt;Ref!$A$8,$H$57&gt;0)),COUNT(SEARCH(Sonderarbeit,$N28))&gt;=1)),C28="Ausgleich"),H28-F28,"")</f>
        <v/>
      </c>
      <c r="K28" s="91" t="str">
        <f>IF(AND(B28=Ref!$A$8,SUM(I22:I28)&lt;SUM(J22:J28)),"-","")</f>
        <v/>
      </c>
      <c r="L28" s="92">
        <f>IF(B28=Ref!$A$8,ABS(SUM(I22:I28)-SUM(J22:J28)),"")</f>
        <v>2.083333333333337E-2</v>
      </c>
      <c r="N28" s="183"/>
    </row>
    <row r="29" spans="1:14" ht="17.399999999999999" customHeight="1" x14ac:dyDescent="0.55000000000000004">
      <c r="A29" s="94">
        <v>11</v>
      </c>
      <c r="B29" s="85" t="str">
        <f t="shared" si="1"/>
        <v>Montag</v>
      </c>
      <c r="C29" s="87">
        <v>0.35416666666666669</v>
      </c>
      <c r="D29" s="213">
        <f t="array" ref="D29">IF(AND(COUNT(SEARCH(Sonderarbeit,$N29,1))&gt;=1,$B29=Ref!$A$7),Ref!$K$1,Ref!$K$2)</f>
        <v>0.70833333333333337</v>
      </c>
      <c r="E29" s="213">
        <f t="array" ref="E29">IF(AND(COUNT(SEARCH(Sonderarbeit,$N29))&gt;=1,$B29=Ref!$A$7),,Ref!$K$3)</f>
        <v>2.0833333333333332E-2</v>
      </c>
      <c r="F29" s="270">
        <f t="shared" si="2"/>
        <v>0.33333333333333337</v>
      </c>
      <c r="G29" s="271"/>
      <c r="H29" s="88">
        <f t="shared" si="3"/>
        <v>0.33333333333333331</v>
      </c>
      <c r="I29" s="89" t="str">
        <f>IF(AND(F29&gt;H29,OR(AND(OR($B29&lt;&gt;Ref!$A$7,$H$56&gt;0),OR($B29&lt;&gt;Ref!$A$8,$H$57&gt;0)),COUNT(SEARCH(Sonderarbeit,$N29))&gt;=1),ISNONTEXT(C29),C29&lt;&gt;""),F29-H29,"")</f>
        <v/>
      </c>
      <c r="J29" s="90" t="str">
        <f>IF(OR(AND(F29&lt;H29,OR(AND(OR($B29&lt;&gt;Ref!$A$7,$H$56&gt;0),OR($B29&lt;&gt;Ref!$A$8,$H$57&gt;0)),COUNT(SEARCH(Sonderarbeit,$N29))&gt;=1)),C29="Ausgleich"),H29-F29,"")</f>
        <v/>
      </c>
      <c r="K29" s="91" t="str">
        <f>IF(AND(B29=Ref!$A$8,SUM(I23:I29)&lt;SUM(J23:J29)),"-","")</f>
        <v/>
      </c>
      <c r="L29" s="92" t="str">
        <f>IF(B29=Ref!$A$8,ABS(SUM(I23:I29)-SUM(J23:J29)),"")</f>
        <v/>
      </c>
      <c r="N29" s="183"/>
    </row>
    <row r="30" spans="1:14" ht="17.399999999999999" customHeight="1" x14ac:dyDescent="0.55000000000000004">
      <c r="A30" s="94">
        <v>12</v>
      </c>
      <c r="B30" s="85" t="str">
        <f t="shared" si="1"/>
        <v>Dienstag</v>
      </c>
      <c r="C30" s="87">
        <v>0.35416666666666669</v>
      </c>
      <c r="D30" s="213">
        <f t="array" ref="D30">IF(AND(COUNT(SEARCH(Sonderarbeit,$N30,1))&gt;=1,$B30=Ref!$A$7),Ref!$K$1,Ref!$K$2)</f>
        <v>0.70833333333333337</v>
      </c>
      <c r="E30" s="213">
        <f t="array" ref="E30">IF(AND(COUNT(SEARCH(Sonderarbeit,$N30))&gt;=1,$B30=Ref!$A$7),,Ref!$K$3)</f>
        <v>2.0833333333333332E-2</v>
      </c>
      <c r="F30" s="270">
        <f t="shared" si="2"/>
        <v>0.33333333333333337</v>
      </c>
      <c r="G30" s="271"/>
      <c r="H30" s="88">
        <f t="shared" si="3"/>
        <v>0.33333333333333331</v>
      </c>
      <c r="I30" s="89" t="str">
        <f>IF(AND(F30&gt;H30,OR(AND(OR($B30&lt;&gt;Ref!$A$7,$H$56&gt;0),OR($B30&lt;&gt;Ref!$A$8,$H$57&gt;0)),COUNT(SEARCH(Sonderarbeit,$N30))&gt;=1),ISNONTEXT(C30),C30&lt;&gt;""),F30-H30,"")</f>
        <v/>
      </c>
      <c r="J30" s="90" t="str">
        <f>IF(OR(AND(F30&lt;H30,OR(AND(OR($B30&lt;&gt;Ref!$A$7,$H$56&gt;0),OR($B30&lt;&gt;Ref!$A$8,$H$57&gt;0)),COUNT(SEARCH(Sonderarbeit,$N30))&gt;=1)),C30="Ausgleich"),H30-F30,"")</f>
        <v/>
      </c>
      <c r="K30" s="91" t="str">
        <f>IF(AND(B30=Ref!$A$8,SUM(I24:I30)&lt;SUM(J24:J30)),"-","")</f>
        <v/>
      </c>
      <c r="L30" s="92" t="str">
        <f>IF(B30=Ref!$A$8,ABS(SUM(I24:I30)-SUM(J24:J30)),"")</f>
        <v/>
      </c>
      <c r="N30" s="183"/>
    </row>
    <row r="31" spans="1:14" ht="17.399999999999999" customHeight="1" x14ac:dyDescent="0.55000000000000004">
      <c r="A31" s="94">
        <v>13</v>
      </c>
      <c r="B31" s="85" t="str">
        <f t="shared" si="1"/>
        <v>Mittwoch</v>
      </c>
      <c r="C31" s="87">
        <v>0.35416666666666669</v>
      </c>
      <c r="D31" s="213">
        <f t="array" ref="D31">IF(AND(COUNT(SEARCH(Sonderarbeit,$N31,1))&gt;=1,$B31=Ref!$A$7),Ref!$K$1,Ref!$K$2)</f>
        <v>0.70833333333333337</v>
      </c>
      <c r="E31" s="213">
        <f t="array" ref="E31">IF(AND(COUNT(SEARCH(Sonderarbeit,$N31))&gt;=1,$B31=Ref!$A$7),,Ref!$K$3)</f>
        <v>2.0833333333333332E-2</v>
      </c>
      <c r="F31" s="270">
        <f t="shared" si="2"/>
        <v>0.33333333333333337</v>
      </c>
      <c r="G31" s="271"/>
      <c r="H31" s="88">
        <f t="shared" si="3"/>
        <v>0.33333333333333331</v>
      </c>
      <c r="I31" s="89" t="str">
        <f>IF(AND(F31&gt;H31,OR(AND(OR($B31&lt;&gt;Ref!$A$7,$H$56&gt;0),OR($B31&lt;&gt;Ref!$A$8,$H$57&gt;0)),COUNT(SEARCH(Sonderarbeit,$N31))&gt;=1),ISNONTEXT(C31),C31&lt;&gt;""),F31-H31,"")</f>
        <v/>
      </c>
      <c r="J31" s="90" t="str">
        <f>IF(OR(AND(F31&lt;H31,OR(AND(OR($B31&lt;&gt;Ref!$A$7,$H$56&gt;0),OR($B31&lt;&gt;Ref!$A$8,$H$57&gt;0)),COUNT(SEARCH(Sonderarbeit,$N31))&gt;=1)),C31="Ausgleich"),H31-F31,"")</f>
        <v/>
      </c>
      <c r="K31" s="91" t="str">
        <f>IF(AND(B31=Ref!$A$8,SUM(I25:I31)&lt;SUM(J25:J31)),"-","")</f>
        <v/>
      </c>
      <c r="L31" s="92" t="str">
        <f>IF(B31=Ref!$A$8,ABS(SUM(I25:I31)-SUM(J25:J31)),"")</f>
        <v/>
      </c>
      <c r="N31" s="183"/>
    </row>
    <row r="32" spans="1:14" ht="17.399999999999999" customHeight="1" x14ac:dyDescent="0.55000000000000004">
      <c r="A32" s="94">
        <v>14</v>
      </c>
      <c r="B32" s="85" t="str">
        <f t="shared" si="1"/>
        <v>Donnerstag</v>
      </c>
      <c r="C32" s="87">
        <v>0.35416666666666669</v>
      </c>
      <c r="D32" s="213">
        <f t="array" ref="D32">IF(AND(COUNT(SEARCH(Sonderarbeit,$N32,1))&gt;=1,$B32=Ref!$A$7),Ref!$K$1,Ref!$K$2)</f>
        <v>0.70833333333333337</v>
      </c>
      <c r="E32" s="213">
        <f t="array" ref="E32">IF(AND(COUNT(SEARCH(Sonderarbeit,$N32))&gt;=1,$B32=Ref!$A$7),,Ref!$K$3)</f>
        <v>2.0833333333333332E-2</v>
      </c>
      <c r="F32" s="270">
        <f t="shared" si="2"/>
        <v>0.33333333333333337</v>
      </c>
      <c r="G32" s="271"/>
      <c r="H32" s="88">
        <f t="shared" si="3"/>
        <v>0.33333333333333331</v>
      </c>
      <c r="I32" s="89" t="str">
        <f>IF(AND(F32&gt;H32,OR(AND(OR($B32&lt;&gt;Ref!$A$7,$H$56&gt;0),OR($B32&lt;&gt;Ref!$A$8,$H$57&gt;0)),COUNT(SEARCH(Sonderarbeit,$N32))&gt;=1),ISNONTEXT(C32),C32&lt;&gt;""),F32-H32,"")</f>
        <v/>
      </c>
      <c r="J32" s="90" t="str">
        <f>IF(OR(AND(F32&lt;H32,OR(AND(OR($B32&lt;&gt;Ref!$A$7,$H$56&gt;0),OR($B32&lt;&gt;Ref!$A$8,$H$57&gt;0)),COUNT(SEARCH(Sonderarbeit,$N32))&gt;=1)),C32="Ausgleich"),H32-F32,"")</f>
        <v/>
      </c>
      <c r="K32" s="91" t="str">
        <f>IF(AND(B32=Ref!$A$8,SUM(I26:I32)&lt;SUM(J26:J32)),"-","")</f>
        <v/>
      </c>
      <c r="L32" s="92" t="str">
        <f>IF(B32=Ref!$A$8,ABS(SUM(I26:I32)-SUM(J26:J32)),"")</f>
        <v/>
      </c>
      <c r="N32" s="183"/>
    </row>
    <row r="33" spans="1:14" ht="17.399999999999999" customHeight="1" x14ac:dyDescent="0.55000000000000004">
      <c r="A33" s="86">
        <v>15</v>
      </c>
      <c r="B33" s="85" t="str">
        <f t="shared" si="1"/>
        <v>Freitag</v>
      </c>
      <c r="C33" s="87">
        <v>0.35416666666666669</v>
      </c>
      <c r="D33" s="213">
        <f t="array" ref="D33">IF(AND(COUNT(SEARCH(Sonderarbeit,$N33,1))&gt;=1,$B33=Ref!$A$7),Ref!$K$1,Ref!$K$2)</f>
        <v>0.70833333333333337</v>
      </c>
      <c r="E33" s="213">
        <f t="array" ref="E33">IF(AND(COUNT(SEARCH(Sonderarbeit,$N33))&gt;=1,$B33=Ref!$A$7),,Ref!$K$3)</f>
        <v>2.0833333333333332E-2</v>
      </c>
      <c r="F33" s="270">
        <f t="shared" si="2"/>
        <v>0.33333333333333337</v>
      </c>
      <c r="G33" s="271"/>
      <c r="H33" s="88">
        <f t="shared" si="3"/>
        <v>0.3125</v>
      </c>
      <c r="I33" s="89">
        <f>IF(AND(F33&gt;H33,OR(AND(OR($B33&lt;&gt;Ref!$A$7,$H$56&gt;0),OR($B33&lt;&gt;Ref!$A$8,$H$57&gt;0)),COUNT(SEARCH(Sonderarbeit,$N33))&gt;=1),ISNONTEXT(C33),C33&lt;&gt;""),F33-H33,"")</f>
        <v>2.083333333333337E-2</v>
      </c>
      <c r="J33" s="90" t="str">
        <f>IF(OR(AND(F33&lt;H33,OR(AND(OR($B33&lt;&gt;Ref!$A$7,$H$56&gt;0),OR($B33&lt;&gt;Ref!$A$8,$H$57&gt;0)),COUNT(SEARCH(Sonderarbeit,$N33))&gt;=1)),C33="Ausgleich"),H33-F33,"")</f>
        <v/>
      </c>
      <c r="K33" s="91" t="str">
        <f>IF(AND(B33=Ref!$A$8,SUM(I27:I33)&lt;SUM(J27:J33)),"-","")</f>
        <v/>
      </c>
      <c r="L33" s="92" t="str">
        <f>IF(B33=Ref!$A$8,ABS(SUM(I27:I33)-SUM(J27:J33)),"")</f>
        <v/>
      </c>
      <c r="N33" s="183"/>
    </row>
    <row r="34" spans="1:14" ht="17.399999999999999" customHeight="1" x14ac:dyDescent="0.55000000000000004">
      <c r="A34" s="86">
        <v>16</v>
      </c>
      <c r="B34" s="85" t="str">
        <f t="shared" si="1"/>
        <v>Samstag</v>
      </c>
      <c r="C34" s="87">
        <v>0.35416666666666669</v>
      </c>
      <c r="D34" s="213">
        <f t="array" ref="D34">IF(AND(COUNT(SEARCH(Sonderarbeit,$N34,1))&gt;=1,$B34=Ref!$A$7),Ref!$K$1,Ref!$K$2)</f>
        <v>0.70833333333333337</v>
      </c>
      <c r="E34" s="213">
        <f t="array" ref="E34">IF(AND(COUNT(SEARCH(Sonderarbeit,$N34))&gt;=1,$B34=Ref!$A$7),,Ref!$K$3)</f>
        <v>2.0833333333333332E-2</v>
      </c>
      <c r="F34" s="270">
        <f t="shared" si="2"/>
        <v>0.33333333333333337</v>
      </c>
      <c r="G34" s="271"/>
      <c r="H34" s="88">
        <f t="shared" si="3"/>
        <v>0</v>
      </c>
      <c r="I34" s="89" t="str">
        <f>IF(AND(F34&gt;H34,OR(AND(OR($B34&lt;&gt;Ref!$A$7,$H$56&gt;0),OR($B34&lt;&gt;Ref!$A$8,$H$57&gt;0)),COUNT(SEARCH(Sonderarbeit,$N34))&gt;=1),ISNONTEXT(C34),C34&lt;&gt;""),F34-H34,"")</f>
        <v/>
      </c>
      <c r="J34" s="90" t="str">
        <f>IF(OR(AND(F34&lt;H34,OR(AND(OR($B34&lt;&gt;Ref!$A$7,$H$56&gt;0),OR($B34&lt;&gt;Ref!$A$8,$H$57&gt;0)),COUNT(SEARCH(Sonderarbeit,$N34))&gt;=1)),C34="Ausgleich"),H34-F34,"")</f>
        <v/>
      </c>
      <c r="K34" s="91" t="str">
        <f>IF(AND(B34=Ref!$A$8,SUM(I28:I34)&lt;SUM(J28:J34)),"-","")</f>
        <v/>
      </c>
      <c r="L34" s="92" t="str">
        <f>IF(B34=Ref!$A$8,ABS(SUM(I28:I34)-SUM(J28:J34)),"")</f>
        <v/>
      </c>
      <c r="N34" s="183"/>
    </row>
    <row r="35" spans="1:14" ht="17.399999999999999" customHeight="1" x14ac:dyDescent="0.55000000000000004">
      <c r="A35" s="86">
        <v>17</v>
      </c>
      <c r="B35" s="85" t="str">
        <f t="shared" si="1"/>
        <v>Sonntag</v>
      </c>
      <c r="C35" s="87">
        <v>0.35416666666666669</v>
      </c>
      <c r="D35" s="213">
        <f t="array" ref="D35">IF(AND(COUNT(SEARCH(Sonderarbeit,$N35,1))&gt;=1,$B35=Ref!$A$7),Ref!$K$1,Ref!$K$2)</f>
        <v>0.70833333333333337</v>
      </c>
      <c r="E35" s="213">
        <f t="array" ref="E35">IF(AND(COUNT(SEARCH(Sonderarbeit,$N35))&gt;=1,$B35=Ref!$A$7),,Ref!$K$3)</f>
        <v>2.0833333333333332E-2</v>
      </c>
      <c r="F35" s="270">
        <f t="shared" si="2"/>
        <v>0.33333333333333337</v>
      </c>
      <c r="G35" s="271"/>
      <c r="H35" s="88">
        <f t="shared" si="3"/>
        <v>0</v>
      </c>
      <c r="I35" s="89" t="str">
        <f>IF(AND(F35&gt;H35,OR(AND(OR($B35&lt;&gt;Ref!$A$7,$H$56&gt;0),OR($B35&lt;&gt;Ref!$A$8,$H$57&gt;0)),COUNT(SEARCH(Sonderarbeit,$N35))&gt;=1),ISNONTEXT(C35),C35&lt;&gt;""),F35-H35,"")</f>
        <v/>
      </c>
      <c r="J35" s="90" t="str">
        <f>IF(OR(AND(F35&lt;H35,OR(AND(OR($B35&lt;&gt;Ref!$A$7,$H$56&gt;0),OR($B35&lt;&gt;Ref!$A$8,$H$57&gt;0)),COUNT(SEARCH(Sonderarbeit,$N35))&gt;=1)),C35="Ausgleich"),H35-F35,"")</f>
        <v/>
      </c>
      <c r="K35" s="91" t="str">
        <f>IF(AND(B35=Ref!$A$8,SUM(I29:I35)&lt;SUM(J29:J35)),"-","")</f>
        <v/>
      </c>
      <c r="L35" s="92">
        <f>IF(B35=Ref!$A$8,ABS(SUM(I29:I35)-SUM(J29:J35)),"")</f>
        <v>2.083333333333337E-2</v>
      </c>
      <c r="N35" s="183"/>
    </row>
    <row r="36" spans="1:14" ht="17.399999999999999" customHeight="1" x14ac:dyDescent="0.55000000000000004">
      <c r="A36" s="86">
        <v>18</v>
      </c>
      <c r="B36" s="85" t="str">
        <f t="shared" si="1"/>
        <v>Montag</v>
      </c>
      <c r="C36" s="87">
        <v>0.35416666666666669</v>
      </c>
      <c r="D36" s="213">
        <f t="array" ref="D36">IF(AND(COUNT(SEARCH(Sonderarbeit,$N36,1))&gt;=1,$B36=Ref!$A$7),Ref!$K$1,Ref!$K$2)</f>
        <v>0.70833333333333337</v>
      </c>
      <c r="E36" s="213">
        <f t="array" ref="E36">IF(AND(COUNT(SEARCH(Sonderarbeit,$N36))&gt;=1,$B36=Ref!$A$7),,Ref!$K$3)</f>
        <v>2.0833333333333332E-2</v>
      </c>
      <c r="F36" s="270">
        <f t="shared" si="2"/>
        <v>0.33333333333333337</v>
      </c>
      <c r="G36" s="271"/>
      <c r="H36" s="88">
        <f t="shared" si="3"/>
        <v>0.33333333333333331</v>
      </c>
      <c r="I36" s="89" t="str">
        <f>IF(AND(F36&gt;H36,OR(AND(OR($B36&lt;&gt;Ref!$A$7,$H$56&gt;0),OR($B36&lt;&gt;Ref!$A$8,$H$57&gt;0)),COUNT(SEARCH(Sonderarbeit,$N36))&gt;=1),ISNONTEXT(C36),C36&lt;&gt;""),F36-H36,"")</f>
        <v/>
      </c>
      <c r="J36" s="90" t="str">
        <f>IF(OR(AND(F36&lt;H36,OR(AND(OR($B36&lt;&gt;Ref!$A$7,$H$56&gt;0),OR($B36&lt;&gt;Ref!$A$8,$H$57&gt;0)),COUNT(SEARCH(Sonderarbeit,$N36))&gt;=1)),C36="Ausgleich"),H36-F36,"")</f>
        <v/>
      </c>
      <c r="K36" s="91" t="str">
        <f>IF(AND(B36=Ref!$A$8,SUM(I30:I36)&lt;SUM(J30:J36)),"-","")</f>
        <v/>
      </c>
      <c r="L36" s="92" t="str">
        <f>IF(B36=Ref!$A$8,ABS(SUM(I30:I36)-SUM(J30:J36)),"")</f>
        <v/>
      </c>
      <c r="N36" s="183"/>
    </row>
    <row r="37" spans="1:14" ht="17.399999999999999" customHeight="1" x14ac:dyDescent="0.55000000000000004">
      <c r="A37" s="86">
        <v>19</v>
      </c>
      <c r="B37" s="85" t="str">
        <f t="shared" si="1"/>
        <v>Dienstag</v>
      </c>
      <c r="C37" s="87">
        <v>0.35416666666666669</v>
      </c>
      <c r="D37" s="213">
        <f t="array" ref="D37">IF(AND(COUNT(SEARCH(Sonderarbeit,$N37,1))&gt;=1,$B37=Ref!$A$7),Ref!$K$1,Ref!$K$2)</f>
        <v>0.70833333333333337</v>
      </c>
      <c r="E37" s="213">
        <f t="array" ref="E37">IF(AND(COUNT(SEARCH(Sonderarbeit,$N37))&gt;=1,$B37=Ref!$A$7),,Ref!$K$3)</f>
        <v>2.0833333333333332E-2</v>
      </c>
      <c r="F37" s="270">
        <f t="shared" si="2"/>
        <v>0.33333333333333337</v>
      </c>
      <c r="G37" s="271"/>
      <c r="H37" s="88">
        <f t="shared" si="3"/>
        <v>0.33333333333333331</v>
      </c>
      <c r="I37" s="89" t="str">
        <f>IF(AND(F37&gt;H37,OR(AND(OR($B37&lt;&gt;Ref!$A$7,$H$56&gt;0),OR($B37&lt;&gt;Ref!$A$8,$H$57&gt;0)),COUNT(SEARCH(Sonderarbeit,$N37))&gt;=1),ISNONTEXT(C37),C37&lt;&gt;""),F37-H37,"")</f>
        <v/>
      </c>
      <c r="J37" s="90" t="str">
        <f>IF(OR(AND(F37&lt;H37,OR(AND(OR($B37&lt;&gt;Ref!$A$7,$H$56&gt;0),OR($B37&lt;&gt;Ref!$A$8,$H$57&gt;0)),COUNT(SEARCH(Sonderarbeit,$N37))&gt;=1)),C37="Ausgleich"),H37-F37,"")</f>
        <v/>
      </c>
      <c r="K37" s="91" t="str">
        <f>IF(AND(B37=Ref!$A$8,SUM(I31:I37)&lt;SUM(J31:J37)),"-","")</f>
        <v/>
      </c>
      <c r="L37" s="92" t="str">
        <f>IF(B37=Ref!$A$8,ABS(SUM(I31:I37)-SUM(J31:J37)),"")</f>
        <v/>
      </c>
      <c r="N37" s="183"/>
    </row>
    <row r="38" spans="1:14" ht="17.399999999999999" customHeight="1" x14ac:dyDescent="0.55000000000000004">
      <c r="A38" s="86">
        <v>20</v>
      </c>
      <c r="B38" s="85" t="str">
        <f t="shared" si="1"/>
        <v>Mittwoch</v>
      </c>
      <c r="C38" s="87">
        <v>0.35416666666666669</v>
      </c>
      <c r="D38" s="213">
        <f t="array" ref="D38">IF(AND(COUNT(SEARCH(Sonderarbeit,$N38,1))&gt;=1,$B38=Ref!$A$7),Ref!$K$1,Ref!$K$2)</f>
        <v>0.70833333333333337</v>
      </c>
      <c r="E38" s="213">
        <f t="array" ref="E38">IF(AND(COUNT(SEARCH(Sonderarbeit,$N38))&gt;=1,$B38=Ref!$A$7),,Ref!$K$3)</f>
        <v>2.0833333333333332E-2</v>
      </c>
      <c r="F38" s="270">
        <f t="shared" si="2"/>
        <v>0.33333333333333337</v>
      </c>
      <c r="G38" s="271"/>
      <c r="H38" s="88">
        <f t="shared" si="3"/>
        <v>0.33333333333333331</v>
      </c>
      <c r="I38" s="89" t="str">
        <f>IF(AND(F38&gt;H38,OR(AND(OR($B38&lt;&gt;Ref!$A$7,$H$56&gt;0),OR($B38&lt;&gt;Ref!$A$8,$H$57&gt;0)),COUNT(SEARCH(Sonderarbeit,$N38))&gt;=1),ISNONTEXT(C38),C38&lt;&gt;""),F38-H38,"")</f>
        <v/>
      </c>
      <c r="J38" s="90" t="str">
        <f>IF(OR(AND(F38&lt;H38,OR(AND(OR($B38&lt;&gt;Ref!$A$7,$H$56&gt;0),OR($B38&lt;&gt;Ref!$A$8,$H$57&gt;0)),COUNT(SEARCH(Sonderarbeit,$N38))&gt;=1)),C38="Ausgleich"),H38-F38,"")</f>
        <v/>
      </c>
      <c r="K38" s="91" t="str">
        <f>IF(AND(B38=Ref!$A$8,SUM(I32:I38)&lt;SUM(J32:J38)),"-","")</f>
        <v/>
      </c>
      <c r="L38" s="92" t="str">
        <f>IF(B38=Ref!$A$8,ABS(SUM(I32:I38)-SUM(J32:J38)),"")</f>
        <v/>
      </c>
      <c r="N38" s="183"/>
    </row>
    <row r="39" spans="1:14" ht="17.399999999999999" customHeight="1" x14ac:dyDescent="0.55000000000000004">
      <c r="A39" s="86">
        <v>21</v>
      </c>
      <c r="B39" s="85" t="str">
        <f t="shared" si="1"/>
        <v>Donnerstag</v>
      </c>
      <c r="C39" s="87">
        <v>0.35416666666666669</v>
      </c>
      <c r="D39" s="213">
        <f t="array" ref="D39">IF(AND(COUNT(SEARCH(Sonderarbeit,$N39,1))&gt;=1,$B39=Ref!$A$7),Ref!$K$1,Ref!$K$2)</f>
        <v>0.70833333333333337</v>
      </c>
      <c r="E39" s="213">
        <f t="array" ref="E39">IF(AND(COUNT(SEARCH(Sonderarbeit,$N39))&gt;=1,$B39=Ref!$A$7),,Ref!$K$3)</f>
        <v>2.0833333333333332E-2</v>
      </c>
      <c r="F39" s="270">
        <f t="shared" si="2"/>
        <v>0.33333333333333337</v>
      </c>
      <c r="G39" s="271"/>
      <c r="H39" s="88">
        <f t="shared" si="3"/>
        <v>0.33333333333333331</v>
      </c>
      <c r="I39" s="89" t="str">
        <f>IF(AND(F39&gt;H39,OR(AND(OR($B39&lt;&gt;Ref!$A$7,$H$56&gt;0),OR($B39&lt;&gt;Ref!$A$8,$H$57&gt;0)),COUNT(SEARCH(Sonderarbeit,$N39))&gt;=1),ISNONTEXT(C39),C39&lt;&gt;""),F39-H39,"")</f>
        <v/>
      </c>
      <c r="J39" s="90" t="str">
        <f>IF(OR(AND(F39&lt;H39,OR(AND(OR($B39&lt;&gt;Ref!$A$7,$H$56&gt;0),OR($B39&lt;&gt;Ref!$A$8,$H$57&gt;0)),COUNT(SEARCH(Sonderarbeit,$N39))&gt;=1)),C39="Ausgleich"),H39-F39,"")</f>
        <v/>
      </c>
      <c r="K39" s="91" t="str">
        <f>IF(AND(B39=Ref!$A$8,SUM(I33:I39)&lt;SUM(J33:J39)),"-","")</f>
        <v/>
      </c>
      <c r="L39" s="92" t="str">
        <f>IF(B39=Ref!$A$8,ABS(SUM(I33:I39)-SUM(J33:J39)),"")</f>
        <v/>
      </c>
      <c r="N39" s="183"/>
    </row>
    <row r="40" spans="1:14" ht="17.399999999999999" customHeight="1" x14ac:dyDescent="0.55000000000000004">
      <c r="A40" s="86">
        <v>22</v>
      </c>
      <c r="B40" s="85" t="str">
        <f t="shared" si="1"/>
        <v>Freitag</v>
      </c>
      <c r="C40" s="87">
        <v>0.35416666666666669</v>
      </c>
      <c r="D40" s="213">
        <f t="array" ref="D40">IF(AND(COUNT(SEARCH(Sonderarbeit,$N40,1))&gt;=1,$B40=Ref!$A$7),Ref!$K$1,Ref!$K$2)</f>
        <v>0.70833333333333337</v>
      </c>
      <c r="E40" s="213">
        <f t="array" ref="E40">IF(AND(COUNT(SEARCH(Sonderarbeit,$N40))&gt;=1,$B40=Ref!$A$7),,Ref!$K$3)</f>
        <v>2.0833333333333332E-2</v>
      </c>
      <c r="F40" s="270">
        <f t="shared" si="2"/>
        <v>0.33333333333333337</v>
      </c>
      <c r="G40" s="271"/>
      <c r="H40" s="88">
        <f t="shared" si="3"/>
        <v>0.3125</v>
      </c>
      <c r="I40" s="89">
        <f>IF(AND(F40&gt;H40,OR(AND(OR($B40&lt;&gt;Ref!$A$7,$H$56&gt;0),OR($B40&lt;&gt;Ref!$A$8,$H$57&gt;0)),COUNT(SEARCH(Sonderarbeit,$N40))&gt;=1),ISNONTEXT(C40),C40&lt;&gt;""),F40-H40,"")</f>
        <v>2.083333333333337E-2</v>
      </c>
      <c r="J40" s="90" t="str">
        <f>IF(OR(AND(F40&lt;H40,OR(AND(OR($B40&lt;&gt;Ref!$A$7,$H$56&gt;0),OR($B40&lt;&gt;Ref!$A$8,$H$57&gt;0)),COUNT(SEARCH(Sonderarbeit,$N40))&gt;=1)),C40="Ausgleich"),H40-F40,"")</f>
        <v/>
      </c>
      <c r="K40" s="91" t="str">
        <f>IF(AND(B40=Ref!$A$8,SUM(I34:I40)&lt;SUM(J34:J40)),"-","")</f>
        <v/>
      </c>
      <c r="L40" s="92" t="str">
        <f>IF(B40=Ref!$A$8,ABS(SUM(I34:I40)-SUM(J34:J40)),"")</f>
        <v/>
      </c>
      <c r="N40" s="183"/>
    </row>
    <row r="41" spans="1:14" ht="17.399999999999999" customHeight="1" x14ac:dyDescent="0.55000000000000004">
      <c r="A41" s="86">
        <v>23</v>
      </c>
      <c r="B41" s="85" t="str">
        <f t="shared" si="1"/>
        <v>Samstag</v>
      </c>
      <c r="C41" s="87">
        <v>0.35416666666666669</v>
      </c>
      <c r="D41" s="213">
        <f t="array" ref="D41">IF(AND(COUNT(SEARCH(Sonderarbeit,$N41,1))&gt;=1,$B41=Ref!$A$7),Ref!$K$1,Ref!$K$2)</f>
        <v>0.70833333333333337</v>
      </c>
      <c r="E41" s="213">
        <f t="array" ref="E41">IF(AND(COUNT(SEARCH(Sonderarbeit,$N41))&gt;=1,$B41=Ref!$A$7),,Ref!$K$3)</f>
        <v>2.0833333333333332E-2</v>
      </c>
      <c r="F41" s="270">
        <f t="shared" si="2"/>
        <v>0.33333333333333337</v>
      </c>
      <c r="G41" s="271"/>
      <c r="H41" s="88">
        <f t="shared" si="3"/>
        <v>0</v>
      </c>
      <c r="I41" s="89" t="str">
        <f>IF(AND(F41&gt;H41,OR(AND(OR($B41&lt;&gt;Ref!$A$7,$H$56&gt;0),OR($B41&lt;&gt;Ref!$A$8,$H$57&gt;0)),COUNT(SEARCH(Sonderarbeit,$N41))&gt;=1),ISNONTEXT(C41),C41&lt;&gt;""),F41-H41,"")</f>
        <v/>
      </c>
      <c r="J41" s="90" t="str">
        <f>IF(OR(AND(F41&lt;H41,OR(AND(OR($B41&lt;&gt;Ref!$A$7,$H$56&gt;0),OR($B41&lt;&gt;Ref!$A$8,$H$57&gt;0)),COUNT(SEARCH(Sonderarbeit,$N41))&gt;=1)),C41="Ausgleich"),H41-F41,"")</f>
        <v/>
      </c>
      <c r="K41" s="91" t="str">
        <f>IF(AND(B41=Ref!$A$8,SUM(I35:I41)&lt;SUM(J35:J41)),"-","")</f>
        <v/>
      </c>
      <c r="L41" s="92" t="str">
        <f>IF(B41=Ref!$A$8,ABS(SUM(I35:I41)-SUM(J35:J41)),"")</f>
        <v/>
      </c>
      <c r="N41" s="181"/>
    </row>
    <row r="42" spans="1:14" ht="17.399999999999999" customHeight="1" x14ac:dyDescent="0.55000000000000004">
      <c r="A42" s="86">
        <v>24</v>
      </c>
      <c r="B42" s="85" t="str">
        <f t="shared" si="1"/>
        <v>Sonntag</v>
      </c>
      <c r="C42" s="87">
        <v>0.35416666666666669</v>
      </c>
      <c r="D42" s="213">
        <f t="array" ref="D42">IF(AND(COUNT(SEARCH(Sonderarbeit,$N42,1))&gt;=1,$B42=Ref!$A$7),Ref!$K$1,Ref!$K$2)</f>
        <v>0.70833333333333337</v>
      </c>
      <c r="E42" s="213">
        <f t="array" ref="E42">IF(AND(COUNT(SEARCH(Sonderarbeit,$N42))&gt;=1,$B42=Ref!$A$7),,Ref!$K$3)</f>
        <v>2.0833333333333332E-2</v>
      </c>
      <c r="F42" s="270">
        <f t="shared" si="2"/>
        <v>0.33333333333333337</v>
      </c>
      <c r="G42" s="271"/>
      <c r="H42" s="88">
        <f t="shared" si="3"/>
        <v>0</v>
      </c>
      <c r="I42" s="89" t="str">
        <f>IF(AND(F42&gt;H42,OR(AND(OR($B42&lt;&gt;Ref!$A$7,$H$56&gt;0),OR($B42&lt;&gt;Ref!$A$8,$H$57&gt;0)),COUNT(SEARCH(Sonderarbeit,$N42))&gt;=1),ISNONTEXT(C42),C42&lt;&gt;""),F42-H42,"")</f>
        <v/>
      </c>
      <c r="J42" s="90" t="str">
        <f>IF(OR(AND(F42&lt;H42,OR(AND(OR($B42&lt;&gt;Ref!$A$7,$H$56&gt;0),OR($B42&lt;&gt;Ref!$A$8,$H$57&gt;0)),COUNT(SEARCH(Sonderarbeit,$N42))&gt;=1)),C42="Ausgleich"),H42-F42,"")</f>
        <v/>
      </c>
      <c r="K42" s="91" t="str">
        <f>IF(AND(B42=Ref!$A$8,SUM(I36:I42)&lt;SUM(J36:J42)),"-","")</f>
        <v/>
      </c>
      <c r="L42" s="92">
        <f>IF(B42=Ref!$A$8,ABS(SUM(I36:I42)-SUM(J36:J42)),"")</f>
        <v>2.083333333333337E-2</v>
      </c>
      <c r="N42" s="183"/>
    </row>
    <row r="43" spans="1:14" ht="17.399999999999999" customHeight="1" x14ac:dyDescent="0.55000000000000004">
      <c r="A43" s="86">
        <v>25</v>
      </c>
      <c r="B43" s="85" t="str">
        <f t="shared" si="1"/>
        <v>Montag</v>
      </c>
      <c r="C43" s="87">
        <v>0.35416666666666669</v>
      </c>
      <c r="D43" s="213">
        <f t="array" ref="D43">IF(AND(COUNT(SEARCH(Sonderarbeit,$N43,1))&gt;=1,$B43=Ref!$A$7),Ref!$K$1,Ref!$K$2)</f>
        <v>0.70833333333333337</v>
      </c>
      <c r="E43" s="213">
        <f t="array" ref="E43">IF(AND(COUNT(SEARCH(Sonderarbeit,$N43))&gt;=1,$B43=Ref!$A$7),,Ref!$K$3)</f>
        <v>2.0833333333333332E-2</v>
      </c>
      <c r="F43" s="270">
        <f t="shared" si="2"/>
        <v>0.33333333333333337</v>
      </c>
      <c r="G43" s="271"/>
      <c r="H43" s="88">
        <f t="shared" si="3"/>
        <v>0.33333333333333331</v>
      </c>
      <c r="I43" s="89" t="str">
        <f>IF(AND(F43&gt;H43,OR(AND(OR($B43&lt;&gt;Ref!$A$7,$H$56&gt;0),OR($B43&lt;&gt;Ref!$A$8,$H$57&gt;0)),COUNT(SEARCH(Sonderarbeit,$N43))&gt;=1),ISNONTEXT(C43),C43&lt;&gt;""),F43-H43,"")</f>
        <v/>
      </c>
      <c r="J43" s="90" t="str">
        <f>IF(OR(AND(F43&lt;H43,OR(AND(OR($B43&lt;&gt;Ref!$A$7,$H$56&gt;0),OR($B43&lt;&gt;Ref!$A$8,$H$57&gt;0)),COUNT(SEARCH(Sonderarbeit,$N43))&gt;=1)),C43="Ausgleich"),H43-F43,"")</f>
        <v/>
      </c>
      <c r="K43" s="91" t="str">
        <f>IF(AND(B43=Ref!$A$8,SUM(I37:I43)&lt;SUM(J37:J43)),"-","")</f>
        <v/>
      </c>
      <c r="L43" s="92" t="str">
        <f>IF(B43=Ref!$A$8,ABS(SUM(I37:I43)-SUM(J37:J43)),"")</f>
        <v/>
      </c>
      <c r="M43" s="187"/>
      <c r="N43" s="183"/>
    </row>
    <row r="44" spans="1:14" ht="17.399999999999999" customHeight="1" x14ac:dyDescent="0.55000000000000004">
      <c r="A44" s="86">
        <v>26</v>
      </c>
      <c r="B44" s="85" t="str">
        <f t="shared" si="1"/>
        <v>Dienstag</v>
      </c>
      <c r="C44" s="87">
        <v>0.35416666666666669</v>
      </c>
      <c r="D44" s="213">
        <f t="array" ref="D44">IF(AND(COUNT(SEARCH(Sonderarbeit,$N44,1))&gt;=1,$B44=Ref!$A$7),Ref!$K$1,Ref!$K$2)</f>
        <v>0.70833333333333337</v>
      </c>
      <c r="E44" s="213">
        <f t="array" ref="E44">IF(AND(COUNT(SEARCH(Sonderarbeit,$N44))&gt;=1,$B44=Ref!$A$7),,Ref!$K$3)</f>
        <v>2.0833333333333332E-2</v>
      </c>
      <c r="F44" s="270">
        <f t="shared" si="2"/>
        <v>0.33333333333333337</v>
      </c>
      <c r="G44" s="271"/>
      <c r="H44" s="88">
        <f t="shared" si="3"/>
        <v>0.33333333333333331</v>
      </c>
      <c r="I44" s="89" t="str">
        <f>IF(AND(F44&gt;H44,OR(AND(OR($B44&lt;&gt;Ref!$A$7,$H$56&gt;0),OR($B44&lt;&gt;Ref!$A$8,$H$57&gt;0)),COUNT(SEARCH(Sonderarbeit,$N44))&gt;=1),ISNONTEXT(C44),C44&lt;&gt;""),F44-H44,"")</f>
        <v/>
      </c>
      <c r="J44" s="90" t="str">
        <f>IF(OR(AND(F44&lt;H44,OR(AND(OR($B44&lt;&gt;Ref!$A$7,$H$56&gt;0),OR($B44&lt;&gt;Ref!$A$8,$H$57&gt;0)),COUNT(SEARCH(Sonderarbeit,$N44))&gt;=1)),C44="Ausgleich"),H44-F44,"")</f>
        <v/>
      </c>
      <c r="K44" s="91" t="str">
        <f>IF(AND(B44=Ref!$A$8,SUM(I38:I44)&lt;SUM(J38:J44)),"-","")</f>
        <v/>
      </c>
      <c r="L44" s="92" t="str">
        <f>IF(B44=Ref!$A$8,ABS(SUM(I38:I44)-SUM(J38:J44)),"")</f>
        <v/>
      </c>
      <c r="N44" s="181"/>
    </row>
    <row r="45" spans="1:14" ht="17.399999999999999" customHeight="1" x14ac:dyDescent="0.55000000000000004">
      <c r="A45" s="86">
        <v>27</v>
      </c>
      <c r="B45" s="85" t="str">
        <f t="shared" si="1"/>
        <v>Mittwoch</v>
      </c>
      <c r="C45" s="87">
        <v>0.35416666666666669</v>
      </c>
      <c r="D45" s="213">
        <f t="array" ref="D45">IF(AND(COUNT(SEARCH(Sonderarbeit,$N45,1))&gt;=1,$B45=Ref!$A$7),Ref!$K$1,Ref!$K$2)</f>
        <v>0.70833333333333337</v>
      </c>
      <c r="E45" s="213">
        <f t="array" ref="E45">IF(AND(COUNT(SEARCH(Sonderarbeit,$N45))&gt;=1,$B45=Ref!$A$7),,Ref!$K$3)</f>
        <v>2.0833333333333332E-2</v>
      </c>
      <c r="F45" s="270">
        <f t="shared" si="2"/>
        <v>0.33333333333333337</v>
      </c>
      <c r="G45" s="271"/>
      <c r="H45" s="88">
        <f t="shared" si="3"/>
        <v>0.33333333333333331</v>
      </c>
      <c r="I45" s="89" t="str">
        <f>IF(AND(F45&gt;H45,OR(AND(OR($B45&lt;&gt;Ref!$A$7,$H$56&gt;0),OR($B45&lt;&gt;Ref!$A$8,$H$57&gt;0)),COUNT(SEARCH(Sonderarbeit,$N45))&gt;=1),ISNONTEXT(C45),C45&lt;&gt;""),F45-H45,"")</f>
        <v/>
      </c>
      <c r="J45" s="90" t="str">
        <f>IF(OR(AND(F45&lt;H45,OR(AND(OR($B45&lt;&gt;Ref!$A$7,$H$56&gt;0),OR($B45&lt;&gt;Ref!$A$8,$H$57&gt;0)),COUNT(SEARCH(Sonderarbeit,$N45))&gt;=1)),C45="Ausgleich"),H45-F45,"")</f>
        <v/>
      </c>
      <c r="K45" s="91" t="str">
        <f>IF(AND(B45=Ref!$A$8,SUM(I39:I45)&lt;SUM(J39:J45)),"-","")</f>
        <v/>
      </c>
      <c r="L45" s="92" t="str">
        <f>IF(B45=Ref!$A$8,ABS(SUM(I39:I45)-SUM(J39:J45)),"")</f>
        <v/>
      </c>
      <c r="M45" s="187"/>
      <c r="N45" s="183"/>
    </row>
    <row r="46" spans="1:14" ht="17.399999999999999" customHeight="1" x14ac:dyDescent="0.55000000000000004">
      <c r="A46" s="86">
        <v>28</v>
      </c>
      <c r="B46" s="85" t="str">
        <f t="shared" si="1"/>
        <v>Donnerstag</v>
      </c>
      <c r="C46" s="87">
        <v>0.35416666666666669</v>
      </c>
      <c r="D46" s="213">
        <f t="array" ref="D46">IF(AND(COUNT(SEARCH(Sonderarbeit,$N46,1))&gt;=1,$B46=Ref!$A$7),Ref!$K$1,Ref!$K$2)</f>
        <v>0.70833333333333337</v>
      </c>
      <c r="E46" s="213">
        <f t="array" ref="E46">IF(AND(COUNT(SEARCH(Sonderarbeit,$N46))&gt;=1,$B46=Ref!$A$7),,Ref!$K$3)</f>
        <v>2.0833333333333332E-2</v>
      </c>
      <c r="F46" s="270">
        <f t="shared" si="2"/>
        <v>0.33333333333333337</v>
      </c>
      <c r="G46" s="271"/>
      <c r="H46" s="88">
        <f t="shared" si="3"/>
        <v>0.33333333333333331</v>
      </c>
      <c r="I46" s="89" t="str">
        <f>IF(AND(F46&gt;H46,OR(AND(OR($B46&lt;&gt;Ref!$A$7,$H$56&gt;0),OR($B46&lt;&gt;Ref!$A$8,$H$57&gt;0)),COUNT(SEARCH(Sonderarbeit,$N46))&gt;=1),ISNONTEXT(C46),C46&lt;&gt;""),F46-H46,"")</f>
        <v/>
      </c>
      <c r="J46" s="90" t="str">
        <f>IF(OR(AND(F46&lt;H46,OR(AND(OR($B46&lt;&gt;Ref!$A$7,$H$56&gt;0),OR($B46&lt;&gt;Ref!$A$8,$H$57&gt;0)),COUNT(SEARCH(Sonderarbeit,$N46))&gt;=1)),C46="Ausgleich"),H46-F46,"")</f>
        <v/>
      </c>
      <c r="K46" s="91" t="str">
        <f>IF(AND(B46=Ref!$A$8,SUM(I40:I46)&lt;SUM(J40:J46)),"-","")</f>
        <v/>
      </c>
      <c r="L46" s="92" t="str">
        <f>IF(B46=Ref!$A$8,ABS(SUM(I40:I46)-SUM(J40:J46)),"")</f>
        <v/>
      </c>
      <c r="M46" s="187"/>
      <c r="N46" s="183"/>
    </row>
    <row r="47" spans="1:14" ht="17.399999999999999" customHeight="1" x14ac:dyDescent="0.55000000000000004">
      <c r="A47" s="86">
        <v>29</v>
      </c>
      <c r="B47" s="85" t="str">
        <f t="shared" si="1"/>
        <v>Freitag</v>
      </c>
      <c r="C47" s="87">
        <v>0.35416666666666669</v>
      </c>
      <c r="D47" s="213">
        <f t="array" ref="D47">IF(AND(COUNT(SEARCH(Sonderarbeit,$N47,1))&gt;=1,$B47=Ref!$A$7),Ref!$K$1,Ref!$K$2)</f>
        <v>0.70833333333333337</v>
      </c>
      <c r="E47" s="213">
        <f t="array" ref="E47">IF(AND(COUNT(SEARCH(Sonderarbeit,$N47))&gt;=1,$B47=Ref!$A$7),,Ref!$K$3)</f>
        <v>2.0833333333333332E-2</v>
      </c>
      <c r="F47" s="270">
        <f t="shared" si="2"/>
        <v>0.33333333333333337</v>
      </c>
      <c r="G47" s="271"/>
      <c r="H47" s="88">
        <f t="shared" si="3"/>
        <v>0.3125</v>
      </c>
      <c r="I47" s="89">
        <f>IF(AND(F47&gt;H47,OR(AND(OR($B47&lt;&gt;Ref!$A$7,$H$56&gt;0),OR($B47&lt;&gt;Ref!$A$8,$H$57&gt;0)),COUNT(SEARCH(Sonderarbeit,$N47))&gt;=1),ISNONTEXT(C47),C47&lt;&gt;""),F47-H47,"")</f>
        <v>2.083333333333337E-2</v>
      </c>
      <c r="J47" s="90" t="str">
        <f>IF(OR(AND(F47&lt;H47,OR(AND(OR($B47&lt;&gt;Ref!$A$7,$H$56&gt;0),OR($B47&lt;&gt;Ref!$A$8,$H$57&gt;0)),COUNT(SEARCH(Sonderarbeit,$N47))&gt;=1)),C47="Ausgleich"),H47-F47,"")</f>
        <v/>
      </c>
      <c r="K47" s="91" t="str">
        <f>IF(AND(B47=Ref!$A$8,SUM(I41:I47)&lt;SUM(J41:J47)),"-","")</f>
        <v/>
      </c>
      <c r="L47" s="92" t="str">
        <f>IF(B47=Ref!$A$8,ABS(SUM(I41:I47)-SUM(J41:J47)),"")</f>
        <v/>
      </c>
      <c r="N47" s="181"/>
    </row>
    <row r="48" spans="1:14" ht="17.399999999999999" customHeight="1" x14ac:dyDescent="0.55000000000000004">
      <c r="A48" s="86">
        <v>30</v>
      </c>
      <c r="B48" s="85" t="str">
        <f t="shared" si="1"/>
        <v>Samstag</v>
      </c>
      <c r="C48" s="87">
        <v>0.35416666666666669</v>
      </c>
      <c r="D48" s="213">
        <f t="array" ref="D48">IF(AND(COUNT(SEARCH(Sonderarbeit,$N48,1))&gt;=1,$B48=Ref!$A$7),Ref!$K$1,Ref!$K$2)</f>
        <v>0.70833333333333337</v>
      </c>
      <c r="E48" s="213">
        <f t="array" ref="E48">IF(AND(COUNT(SEARCH(Sonderarbeit,$N48))&gt;=1,$B48=Ref!$A$7),,Ref!$K$3)</f>
        <v>2.0833333333333332E-2</v>
      </c>
      <c r="F48" s="270">
        <f t="shared" si="2"/>
        <v>0.33333333333333337</v>
      </c>
      <c r="G48" s="271"/>
      <c r="H48" s="88">
        <f t="shared" si="3"/>
        <v>0</v>
      </c>
      <c r="I48" s="89" t="str">
        <f>IF(AND(F48&gt;H48,OR(AND(OR($B48&lt;&gt;Ref!$A$7,$H$56&gt;0),OR($B48&lt;&gt;Ref!$A$8,$H$57&gt;0)),COUNT(SEARCH(Sonderarbeit,$N48))&gt;=1),ISNONTEXT(C48),C48&lt;&gt;""),F48-H48,"")</f>
        <v/>
      </c>
      <c r="J48" s="90" t="str">
        <f>IF(OR(AND(F48&lt;H48,OR(AND(OR($B48&lt;&gt;Ref!$A$7,$H$56&gt;0),OR($B48&lt;&gt;Ref!$A$8,$H$57&gt;0)),COUNT(SEARCH(Sonderarbeit,$N48))&gt;=1)),C48="Ausgleich"),H48-F48,"")</f>
        <v/>
      </c>
      <c r="K48" s="91" t="str">
        <f>IF(AND(B48=Ref!$A$8,SUM(I42:I48)&lt;SUM(J42:J48)),"-","")</f>
        <v/>
      </c>
      <c r="L48" s="92" t="str">
        <f>IF(B48=Ref!$A$8,ABS(SUM(I42:I48)-SUM(J42:J48)),"")</f>
        <v/>
      </c>
      <c r="N48" s="183"/>
    </row>
    <row r="49" spans="1:14" ht="17.399999999999999" customHeight="1" x14ac:dyDescent="0.55000000000000004">
      <c r="A49" s="86">
        <v>31</v>
      </c>
      <c r="B49" s="85" t="str">
        <f t="shared" si="1"/>
        <v>Sonntag</v>
      </c>
      <c r="C49" s="87">
        <v>0.35416666666666669</v>
      </c>
      <c r="D49" s="213">
        <f t="array" ref="D49">IF(AND(COUNT(SEARCH(Sonderarbeit,$N49,1))&gt;=1,$B49=Ref!$A$7),Ref!$K$1,Ref!$K$2)</f>
        <v>0.70833333333333337</v>
      </c>
      <c r="E49" s="213">
        <f t="array" ref="E49">IF(AND(COUNT(SEARCH(Sonderarbeit,$N49))&gt;=1,$B49=Ref!$A$7),,Ref!$K$3)</f>
        <v>2.0833333333333332E-2</v>
      </c>
      <c r="F49" s="270">
        <f t="shared" si="2"/>
        <v>0.33333333333333337</v>
      </c>
      <c r="G49" s="271"/>
      <c r="H49" s="88">
        <f t="shared" si="3"/>
        <v>0</v>
      </c>
      <c r="I49" s="89" t="str">
        <f>IF(AND(F49&gt;H49,OR(AND(OR($B49&lt;&gt;Ref!$A$7,$H$56&gt;0),OR($B49&lt;&gt;Ref!$A$8,$H$57&gt;0)),COUNT(SEARCH(Sonderarbeit,$N49))&gt;=1),ISNONTEXT(C49),C49&lt;&gt;""),F49-H49,"")</f>
        <v/>
      </c>
      <c r="J49" s="90" t="str">
        <f>IF(OR(AND(F49&lt;H49,OR(AND(OR($B49&lt;&gt;Ref!$A$7,$H$56&gt;0),OR($B49&lt;&gt;Ref!$A$8,$H$57&gt;0)),COUNT(SEARCH(Sonderarbeit,$N49))&gt;=1)),C49="Ausgleich"),H49-F49,"")</f>
        <v/>
      </c>
      <c r="K49" s="97" t="str">
        <f ca="1">IF(SUM(INDIRECT("I"&amp;ROW()-WEEKDAY(DATE(J$11,MONTH(I$11),A49),3)):I49) &lt; SUM(INDIRECT("j"&amp;ROW()-WEEKDAY(DATE(J$11,MONTH(I$11),A49),3)):J49),"-","")</f>
        <v/>
      </c>
      <c r="L49" s="96">
        <f ca="1">ABS(SUM(INDIRECT("I"&amp;ROW()-WEEKDAY(DATE(J$11,MONTH(I$11),A49),3)):I49)-SUM(INDIRECT("j"&amp;ROW()-WEEKDAY(DATE(J$11,MONTH(I$11),A49))):J49))</f>
        <v>2.083333333333337E-2</v>
      </c>
      <c r="N49" s="181"/>
    </row>
    <row r="50" spans="1:14" s="20" customFormat="1" ht="17.399999999999999" customHeight="1" thickBot="1" x14ac:dyDescent="0.35">
      <c r="A50" s="98" t="str">
        <f>Jan!A50</f>
        <v>Sonstige Zeiten laut beigefügter Aufstellung (s. Anlage):</v>
      </c>
      <c r="B50" s="172"/>
      <c r="C50" s="173"/>
      <c r="D50" s="101"/>
      <c r="E50" s="101"/>
      <c r="F50" s="101"/>
      <c r="G50" s="101"/>
      <c r="H50" s="165"/>
      <c r="I50" s="145">
        <v>0</v>
      </c>
      <c r="J50" s="146">
        <v>0</v>
      </c>
      <c r="K50" s="147"/>
      <c r="L50" s="148"/>
      <c r="M50" s="188"/>
      <c r="N50" s="183"/>
    </row>
    <row r="51" spans="1:14" x14ac:dyDescent="0.3">
      <c r="A51" s="257" t="s">
        <v>3</v>
      </c>
      <c r="B51" s="257"/>
      <c r="C51" s="257"/>
      <c r="D51" s="257"/>
      <c r="E51" s="105"/>
      <c r="F51" s="105"/>
      <c r="G51" s="105"/>
      <c r="H51" s="166">
        <f>Jul!H51</f>
        <v>0.33333333333333331</v>
      </c>
      <c r="I51" s="273">
        <f>SUM(I17:I50)</f>
        <v>0.70833333333333459</v>
      </c>
      <c r="J51" s="275">
        <f>SUM(J17:J50)</f>
        <v>0</v>
      </c>
      <c r="K51" s="252" t="str">
        <f ca="1">IF(SUMIF(K19:K49,"",L19:L49)&lt;SUMIF(K19:K49,"-",L19:L49),"-","")</f>
        <v/>
      </c>
      <c r="L51" s="254">
        <f ca="1">ABS(SUMIF(K19:K49,"",L19:L49)-SUMIF(K19:K49,"-",L19:L49))</f>
        <v>0.10416666666666685</v>
      </c>
    </row>
    <row r="52" spans="1:14" ht="13.5" thickBot="1" x14ac:dyDescent="0.35">
      <c r="A52" s="258"/>
      <c r="B52" s="258"/>
      <c r="C52" s="258"/>
      <c r="D52" s="258"/>
      <c r="E52" s="105"/>
      <c r="F52" s="105"/>
      <c r="G52" s="106" t="s">
        <v>12</v>
      </c>
      <c r="H52" s="167">
        <f>Jul!H52</f>
        <v>0.33333333333333331</v>
      </c>
      <c r="I52" s="274"/>
      <c r="J52" s="276"/>
      <c r="K52" s="253"/>
      <c r="L52" s="255"/>
    </row>
    <row r="53" spans="1:14" x14ac:dyDescent="0.3">
      <c r="A53" s="258"/>
      <c r="B53" s="258"/>
      <c r="C53" s="258"/>
      <c r="D53" s="258"/>
      <c r="E53" s="105"/>
      <c r="F53" s="105"/>
      <c r="G53" s="107"/>
      <c r="H53" s="167">
        <f>Jul!H53</f>
        <v>0.33333333333333331</v>
      </c>
      <c r="I53" s="268">
        <f>IF(I51&gt;J51,I51-J51,0)</f>
        <v>0.70833333333333459</v>
      </c>
      <c r="J53" s="266" t="str">
        <f>IF(J51&gt;I51,J51-I51,"")</f>
        <v/>
      </c>
      <c r="K53" s="110"/>
      <c r="L53" s="110"/>
    </row>
    <row r="54" spans="1:14" ht="13.5" thickBot="1" x14ac:dyDescent="0.35">
      <c r="A54" s="265" t="s">
        <v>15</v>
      </c>
      <c r="B54" s="265"/>
      <c r="C54" s="265"/>
      <c r="D54" s="265"/>
      <c r="E54" s="109"/>
      <c r="F54" s="109"/>
      <c r="G54" s="106" t="s">
        <v>13</v>
      </c>
      <c r="H54" s="167">
        <f>Jul!H54</f>
        <v>0.33333333333333331</v>
      </c>
      <c r="I54" s="269"/>
      <c r="J54" s="267"/>
      <c r="K54" s="110"/>
      <c r="L54" s="110"/>
    </row>
    <row r="55" spans="1:14" ht="13.5" thickBot="1" x14ac:dyDescent="0.35">
      <c r="A55" s="257" t="s">
        <v>4</v>
      </c>
      <c r="B55" s="257"/>
      <c r="C55" s="257"/>
      <c r="D55" s="257"/>
      <c r="E55" s="109"/>
      <c r="F55" s="109"/>
      <c r="G55" s="109"/>
      <c r="H55" s="167">
        <f>Jul!H55</f>
        <v>0.3125</v>
      </c>
      <c r="I55" s="109"/>
      <c r="J55" s="109"/>
      <c r="K55" s="110"/>
      <c r="L55" s="110"/>
    </row>
    <row r="56" spans="1:14" ht="13.25" customHeight="1" x14ac:dyDescent="0.3">
      <c r="A56" s="258"/>
      <c r="B56" s="258"/>
      <c r="C56" s="258"/>
      <c r="D56" s="258"/>
      <c r="E56" s="149" t="str">
        <f>Jan!E56</f>
        <v xml:space="preserve"> </v>
      </c>
      <c r="F56" s="150"/>
      <c r="G56" s="151" t="str">
        <f>IF(E56=" ", " ", IF(Mantelbogen!D26=I11,Mantelbogen!C29,Jul!G58))</f>
        <v xml:space="preserve"> </v>
      </c>
      <c r="H56" s="168">
        <v>0</v>
      </c>
      <c r="I56" s="259" t="s">
        <v>123</v>
      </c>
      <c r="J56" s="260"/>
      <c r="K56" s="110"/>
      <c r="L56" s="110"/>
    </row>
    <row r="57" spans="1:14" ht="13.5" thickBot="1" x14ac:dyDescent="0.35">
      <c r="A57" s="258"/>
      <c r="B57" s="258"/>
      <c r="C57" s="258"/>
      <c r="D57" s="258"/>
      <c r="E57" s="149" t="str">
        <f>Jan!E57</f>
        <v xml:space="preserve"> </v>
      </c>
      <c r="F57" s="151"/>
      <c r="G57" s="151" t="str">
        <f>IF(E56=" ", " ", -COUNTIF(C19:C49, "Urlaub*" ))</f>
        <v xml:space="preserve"> </v>
      </c>
      <c r="H57" s="169">
        <v>0</v>
      </c>
      <c r="I57" s="261"/>
      <c r="J57" s="262"/>
      <c r="K57" s="110"/>
      <c r="L57" s="110"/>
    </row>
    <row r="58" spans="1:14" ht="24.5" customHeight="1" thickBot="1" x14ac:dyDescent="0.35">
      <c r="A58" s="265" t="s">
        <v>10</v>
      </c>
      <c r="B58" s="265"/>
      <c r="C58" s="265"/>
      <c r="D58" s="265"/>
      <c r="E58" s="152" t="str">
        <f>Jan!E58</f>
        <v xml:space="preserve"> </v>
      </c>
      <c r="F58" s="153"/>
      <c r="G58" s="154" t="str">
        <f>IF(E56=" ", " ", IF(Mantelbogen!C29 &gt; 0.0001, G56+G57, 0))</f>
        <v xml:space="preserve"> </v>
      </c>
      <c r="H58" s="195">
        <f>SUM(H51:H57)</f>
        <v>1.6458333333333333</v>
      </c>
      <c r="I58" s="263"/>
      <c r="J58" s="264"/>
      <c r="K58" s="105"/>
      <c r="L58" s="118" t="str">
        <f>Mantelbogen!D47</f>
        <v>10.01.2024  HAdW / G. Wolff</v>
      </c>
    </row>
    <row r="60" spans="1:14" x14ac:dyDescent="0.3">
      <c r="G60" s="256"/>
      <c r="H60" s="256"/>
      <c r="I60" s="256"/>
      <c r="J60" s="21"/>
    </row>
    <row r="61" spans="1:14" x14ac:dyDescent="0.3">
      <c r="G61" s="21"/>
      <c r="H61" s="21"/>
      <c r="I61" s="21"/>
      <c r="J61" s="21"/>
    </row>
    <row r="62" spans="1:14" x14ac:dyDescent="0.3">
      <c r="G62" s="21"/>
      <c r="H62" s="21"/>
    </row>
  </sheetData>
  <sheetProtection password="9BC9" sheet="1" objects="1" scenarios="1"/>
  <mergeCells count="63">
    <mergeCell ref="A1:E2"/>
    <mergeCell ref="A3:E3"/>
    <mergeCell ref="A54:D54"/>
    <mergeCell ref="G60:I60"/>
    <mergeCell ref="A55:D55"/>
    <mergeCell ref="A56:D57"/>
    <mergeCell ref="I56:J58"/>
    <mergeCell ref="A58:D58"/>
    <mergeCell ref="J53:J54"/>
    <mergeCell ref="I53:I54"/>
    <mergeCell ref="F48:G48"/>
    <mergeCell ref="F49:G49"/>
    <mergeCell ref="A51:D51"/>
    <mergeCell ref="I51:I52"/>
    <mergeCell ref="J51:J52"/>
    <mergeCell ref="A52:D53"/>
    <mergeCell ref="F47:G47"/>
    <mergeCell ref="F36:G36"/>
    <mergeCell ref="F37:G37"/>
    <mergeCell ref="F38:G38"/>
    <mergeCell ref="F39:G39"/>
    <mergeCell ref="F40:G40"/>
    <mergeCell ref="F41:G41"/>
    <mergeCell ref="F42:G42"/>
    <mergeCell ref="F43:G43"/>
    <mergeCell ref="F44:G44"/>
    <mergeCell ref="F45:G45"/>
    <mergeCell ref="F46:G46"/>
    <mergeCell ref="H15:H18"/>
    <mergeCell ref="F22:G22"/>
    <mergeCell ref="F35:G35"/>
    <mergeCell ref="F24:G24"/>
    <mergeCell ref="F25:G25"/>
    <mergeCell ref="F26:G26"/>
    <mergeCell ref="F27:G27"/>
    <mergeCell ref="F28:G28"/>
    <mergeCell ref="F29:G29"/>
    <mergeCell ref="F30:G30"/>
    <mergeCell ref="F31:G31"/>
    <mergeCell ref="F32:G32"/>
    <mergeCell ref="F33:G33"/>
    <mergeCell ref="F34:G34"/>
    <mergeCell ref="E15:E18"/>
    <mergeCell ref="F15:G18"/>
    <mergeCell ref="F19:G19"/>
    <mergeCell ref="F20:G20"/>
    <mergeCell ref="F21:G21"/>
    <mergeCell ref="K51:K52"/>
    <mergeCell ref="L51:L52"/>
    <mergeCell ref="G1:J7"/>
    <mergeCell ref="A4:E6"/>
    <mergeCell ref="A11:B11"/>
    <mergeCell ref="A13:B13"/>
    <mergeCell ref="A15:A18"/>
    <mergeCell ref="I15:J15"/>
    <mergeCell ref="I17:I18"/>
    <mergeCell ref="J17:J18"/>
    <mergeCell ref="K15:L16"/>
    <mergeCell ref="K17:L18"/>
    <mergeCell ref="F23:G23"/>
    <mergeCell ref="B15:B18"/>
    <mergeCell ref="C15:C18"/>
    <mergeCell ref="D15:D18"/>
  </mergeCells>
  <phoneticPr fontId="0" type="noConversion"/>
  <conditionalFormatting sqref="C19:C49">
    <cfRule type="expression" dxfId="54" priority="7">
      <formula>ISTEXT($C19)</formula>
    </cfRule>
  </conditionalFormatting>
  <conditionalFormatting sqref="F19:F49">
    <cfRule type="expression" dxfId="53" priority="11">
      <formula>AND(ISNONTEXT($C19),$F19 &gt; 0.666667)</formula>
    </cfRule>
  </conditionalFormatting>
  <conditionalFormatting sqref="A19:L49">
    <cfRule type="expression" dxfId="52" priority="5">
      <formula>AND(ISTEXT($C19),$C19&lt;&gt;"Kinderkrankentag",$C19&lt;&gt;"Urlaub",$C19&lt;&gt;"Krank",$C19&lt;&gt;"Ausgleich")</formula>
    </cfRule>
  </conditionalFormatting>
  <conditionalFormatting sqref="D19:H49">
    <cfRule type="expression" dxfId="51" priority="4">
      <formula>AND(ISTEXT($C19),OR($C19="Kinderkrankentag",$C19="Urlaub",$C19="Krank",$C19="Ausgleich"))</formula>
    </cfRule>
  </conditionalFormatting>
  <conditionalFormatting sqref="A19:A49 C19:L49">
    <cfRule type="expression" dxfId="50" priority="1">
      <formula>COUNT(SEARCH(Sonderarbeit,$N19))&gt;=1</formula>
    </cfRule>
  </conditionalFormatting>
  <conditionalFormatting sqref="D19:J49">
    <cfRule type="expression" dxfId="49" priority="3">
      <formula>AND(ISTEXT($C19),$C19&lt;&gt;"Kinderkrankentag",$C19&lt;&gt;"Urlaub",$C19&lt;&gt;"Krank",$C19&lt;&gt;"Ausgleich")</formula>
    </cfRule>
  </conditionalFormatting>
  <dataValidations count="1">
    <dataValidation type="custom" errorStyle="warning" allowBlank="1" showErrorMessage="1" errorTitle="Samstagsarbeit" error="Tragen Sie hier bitte nur etwas ein, wenn Sie tatsächlich REGELMÄßIG und angeordnet Samstag arbeiten. Ansonsten tragen Sie bitte am entsprechenden Tag in Spalte N „Samstagsarbeit“ ein und der entsprechende Tag wird verfügbar." promptTitle="Samstagsarbeit" prompt="Tragen Sie hier bitte nur etwas ein, wenn Sie tatsächlich REGELMÄßIG und angeordnet Samstag arbeiten. Ansonsten tragen Sie bitte am entsprechenden Tag in Spalte N „Samstagsarbeit“ ein und der entsprechende Tag wird verfügbar." sqref="H56" xr:uid="{CCE95276-0D66-4D62-8D24-158D62C5CE7C}">
      <formula1>$A$4="Arbeitszeitblatt"</formula1>
    </dataValidation>
  </dataValidations>
  <printOptions horizontalCentered="1" verticalCentered="1"/>
  <pageMargins left="1.0236220472440944" right="0.23622047244094491" top="0.15748031496062992" bottom="0.19685039370078741" header="0.15748031496062992" footer="0.15748031496062992"/>
  <pageSetup paperSize="9" scale="82" orientation="portrait" horizontalDpi="1200" verticalDpi="1200"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DBDA7120-C565-4BE2-86FA-D64DB06A534F}">
            <xm:f>AND(OR(AND($F19 &gt; 0.250001, $E19 &lt; 0.020833332), AND($F19 &gt; 0.375, $E19 &lt; 0.03124999)  ),OR(AND($B19&lt;&gt;Ref!$A$7, $B19&lt;&gt;Ref!$A$8),COUNT(SEARCH(Sonderarbeit,$N19))&gt;=1),ISNUMBER($C19))</xm:f>
            <x14:dxf>
              <fill>
                <patternFill>
                  <bgColor rgb="FFFF0000"/>
                </patternFill>
              </fill>
            </x14:dxf>
          </x14:cfRule>
          <xm:sqref>E19:E49</xm:sqref>
        </x14:conditionalFormatting>
        <x14:conditionalFormatting xmlns:xm="http://schemas.microsoft.com/office/excel/2006/main">
          <x14:cfRule type="expression" priority="6" id="{C3A1D723-C5B2-4BDE-9A12-2BFD23CBBD0D}">
            <xm:f>OR(AND($B19=Ref!$A$7,$H$56=0), AND($B19=Ref!$A$8,$H$57=0), NOT( ISERROR(FIND("feiertag",LOWER($C19)) ) ) )</xm:f>
            <x14:dxf>
              <fill>
                <patternFill patternType="solid">
                  <bgColor rgb="FF99CCFF"/>
                </patternFill>
              </fill>
            </x14:dxf>
          </x14:cfRule>
          <xm:sqref>A19:L49</xm:sqref>
        </x14:conditionalFormatting>
        <x14:conditionalFormatting xmlns:xm="http://schemas.microsoft.com/office/excel/2006/main">
          <x14:cfRule type="expression" priority="8" id="{89BF27E9-8715-4E26-A2BB-D923E2E2B585}">
            <xm:f>OR(AND($B19=Ref!$A$7, $H$56&lt;0.00001),AND($B19=Ref!$A$8, $H$57&lt;0.00001))</xm:f>
            <x14:dxf>
              <font>
                <color rgb="FF99CCFF"/>
              </font>
              <fill>
                <patternFill>
                  <bgColor rgb="FF99CCFF"/>
                </patternFill>
              </fill>
            </x14:dxf>
          </x14:cfRule>
          <xm:sqref>C19:J49</xm:sqref>
        </x14:conditionalFormatting>
        <x14:conditionalFormatting xmlns:xm="http://schemas.microsoft.com/office/excel/2006/main">
          <x14:cfRule type="expression" priority="9" id="{75D16BBD-186D-4C4D-AC9D-ED79E23D621E}">
            <xm:f>AND($B19=Ref!$A$7, $H$56&gt;0.00001)</xm:f>
            <x14:dxf>
              <font>
                <b val="0"/>
                <i val="0"/>
                <color theme="1"/>
              </font>
              <fill>
                <patternFill patternType="none">
                  <bgColor auto="1"/>
                </patternFill>
              </fill>
            </x14:dxf>
          </x14:cfRule>
          <x14:cfRule type="expression" priority="10" id="{CBFD05D9-3DFB-4134-927F-EA8426D541EB}">
            <xm:f>AND($B19=Ref!$A$8, $H$57&gt;0.00001)</xm:f>
            <x14:dxf>
              <font>
                <b val="0"/>
                <i val="0"/>
              </font>
              <fill>
                <patternFill patternType="none">
                  <bgColor auto="1"/>
                </patternFill>
              </fill>
            </x14:dxf>
          </x14:cfRule>
          <xm:sqref>C19:I49</xm:sqref>
        </x14:conditionalFormatting>
      </x14:conditionalFormattings>
    </ext>
    <ext xmlns:x14="http://schemas.microsoft.com/office/spreadsheetml/2009/9/main" uri="{CCE6A557-97BC-4b89-ADB6-D9C93CAAB3DF}">
      <x14:dataValidations xmlns:xm="http://schemas.microsoft.com/office/excel/2006/main" count="1">
        <x14:dataValidation type="custom" errorStyle="information" allowBlank="1" showInputMessage="1" showErrorMessage="1" errorTitle="Samstagsarbeit" error="Tragen Sie hier bitte nur die tasächlich angefallene Arbeit ein. Tragen Sie ggf. anfallende Zuschläge auf ein separates Tabellenblatt ein und übertragen diese in das Kästchen I50." xr:uid="{1247C7B5-43AB-42F9-8979-B75037534CA0}">
          <x14:formula1>
            <xm:f>NOT(OFFSET(C19,0,2-COLUMN(C19))=Ref!$A$7)</xm:f>
          </x14:formula1>
          <xm:sqref>C19:E49</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Mantelbogen</vt:lpstr>
      <vt:lpstr>Jan</vt:lpstr>
      <vt:lpstr>Feb</vt:lpstr>
      <vt:lpstr>Mar</vt:lpstr>
      <vt:lpstr>Apr</vt:lpstr>
      <vt:lpstr>Mai</vt:lpstr>
      <vt:lpstr>Jun</vt:lpstr>
      <vt:lpstr>Jul</vt:lpstr>
      <vt:lpstr>Aug</vt:lpstr>
      <vt:lpstr>Sep</vt:lpstr>
      <vt:lpstr>Okt</vt:lpstr>
      <vt:lpstr>Nov</vt:lpstr>
      <vt:lpstr>Dez</vt:lpstr>
      <vt:lpstr>Ref</vt:lpstr>
      <vt:lpstr>Apr!Druck_Area</vt:lpstr>
      <vt:lpstr>Dez!Druck_Area</vt:lpstr>
      <vt:lpstr>Feb!Druck_Area</vt:lpstr>
      <vt:lpstr>Jan!Druck_Area</vt:lpstr>
      <vt:lpstr>Jun!Druck_Area</vt:lpstr>
      <vt:lpstr>Mantelbogen!Druck_Area</vt:lpstr>
      <vt:lpstr>Mar!Druck_Area</vt:lpstr>
      <vt:lpstr>Nov!Druck_Area</vt:lpstr>
      <vt:lpstr>Okt!Druck_Area</vt:lpstr>
      <vt:lpstr>Apr!Print_Area</vt:lpstr>
      <vt:lpstr>Aug!Print_Area</vt:lpstr>
      <vt:lpstr>Dez!Print_Area</vt:lpstr>
      <vt:lpstr>Feb!Print_Area</vt:lpstr>
      <vt:lpstr>Jan!Print_Area</vt:lpstr>
      <vt:lpstr>Jul!Print_Area</vt:lpstr>
      <vt:lpstr>Jun!Print_Area</vt:lpstr>
      <vt:lpstr>Mai!Print_Area</vt:lpstr>
      <vt:lpstr>Mantelbogen!Print_Area</vt:lpstr>
      <vt:lpstr>Mar!Print_Area</vt:lpstr>
      <vt:lpstr>Nov!Print_Area</vt:lpstr>
      <vt:lpstr>Okt!Print_Area</vt:lpstr>
      <vt:lpstr>Sep!Print_Area</vt:lpstr>
      <vt:lpstr>tblMonate</vt:lpstr>
      <vt:lpstr>Textcode</vt:lpstr>
    </vt:vector>
  </TitlesOfParts>
  <Company>HAdW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Arbeitszeitblatt-2024</dc:title>
  <dc:creator>Siebert</dc:creator>
  <cp:lastModifiedBy>Georg Wolff</cp:lastModifiedBy>
  <cp:lastPrinted>2024-01-11T07:06:54Z</cp:lastPrinted>
  <dcterms:created xsi:type="dcterms:W3CDTF">2008-06-09T11:23:42Z</dcterms:created>
  <dcterms:modified xsi:type="dcterms:W3CDTF">2024-12-20T10:48:13Z</dcterms:modified>
  <cp:category>Personal</cp:category>
</cp:coreProperties>
</file>