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omments12.xml" ContentType="application/vnd.openxmlformats-officedocument.spreadsheetml.comments+xml"/>
  <Override PartName="/xl/drawings/drawing12.xml" ContentType="application/vnd.openxmlformats-officedocument.drawing+xml"/>
  <Override PartName="/xl/comments13.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showInkAnnotation="0" codeName="ThisWorkbook"/>
  <mc:AlternateContent xmlns:mc="http://schemas.openxmlformats.org/markup-compatibility/2006">
    <mc:Choice Requires="x15">
      <x15ac:absPath xmlns:x15ac="http://schemas.microsoft.com/office/spreadsheetml/2010/11/ac" url="C:\Users\wolff\Desktop\Laufende Arbeit\Arbeitszeitblatt\"/>
    </mc:Choice>
  </mc:AlternateContent>
  <xr:revisionPtr revIDLastSave="0" documentId="13_ncr:1_{674CB77C-8EEC-4B85-B86C-70D5E1B0B13D}" xr6:coauthVersionLast="47" xr6:coauthVersionMax="47" xr10:uidLastSave="{00000000-0000-0000-0000-000000000000}"/>
  <bookViews>
    <workbookView xWindow="38280" yWindow="-75" windowWidth="38640" windowHeight="21120" tabRatio="558" activeTab="13" xr2:uid="{00000000-000D-0000-FFFF-FFFF00000000}"/>
  </bookViews>
  <sheets>
    <sheet name="Mantelbogen" sheetId="42" r:id="rId1"/>
    <sheet name="Jan" sheetId="30" r:id="rId2"/>
    <sheet name="Feb" sheetId="29" r:id="rId3"/>
    <sheet name="Mar" sheetId="28" r:id="rId4"/>
    <sheet name="Apr" sheetId="31" r:id="rId5"/>
    <sheet name="Mai" sheetId="32" r:id="rId6"/>
    <sheet name="Jun" sheetId="33" r:id="rId7"/>
    <sheet name="Jul" sheetId="40" r:id="rId8"/>
    <sheet name="Aug" sheetId="35" r:id="rId9"/>
    <sheet name="Sep" sheetId="38" r:id="rId10"/>
    <sheet name="Okt" sheetId="36" r:id="rId11"/>
    <sheet name="Nov" sheetId="37" r:id="rId12"/>
    <sheet name="Dez" sheetId="41" r:id="rId13"/>
    <sheet name="Urlaub &amp; Ausgleich" sheetId="45" r:id="rId14"/>
    <sheet name="Ref" sheetId="43" state="hidden" r:id="rId15"/>
  </sheets>
  <definedNames>
    <definedName name="Druck_Area" localSheetId="4">Apr!$A:$M</definedName>
    <definedName name="Druck_Area" localSheetId="12">Dez!$A:$M</definedName>
    <definedName name="Druck_Area" localSheetId="2">Feb!$A:$M</definedName>
    <definedName name="Druck_Area" localSheetId="1">Jan!$A:$M</definedName>
    <definedName name="Druck_Area" localSheetId="6">Jun!$A:$M</definedName>
    <definedName name="Druck_Area" localSheetId="0">Mantelbogen!$A$1:$D$51</definedName>
    <definedName name="Druck_Area" localSheetId="3">Mar!$A:$M</definedName>
    <definedName name="Druck_Area" localSheetId="11">Nov!$A:$M</definedName>
    <definedName name="Druck_Area" localSheetId="10">Okt!$A$1:$M$60</definedName>
    <definedName name="_xlnm.Print_Area" localSheetId="4">Apr!$A:$M</definedName>
    <definedName name="_xlnm.Print_Area" localSheetId="8">Aug!$A:$M</definedName>
    <definedName name="_xlnm.Print_Area" localSheetId="12">Dez!$A:$M</definedName>
    <definedName name="_xlnm.Print_Area" localSheetId="2">Feb!$A:$M</definedName>
    <definedName name="_xlnm.Print_Area" localSheetId="1">Jan!$A:$M</definedName>
    <definedName name="_xlnm.Print_Area" localSheetId="7">Jul!$A:$M</definedName>
    <definedName name="_xlnm.Print_Area" localSheetId="6">Jun!$A:$M</definedName>
    <definedName name="_xlnm.Print_Area" localSheetId="5">Mai!$A:$M</definedName>
    <definedName name="_xlnm.Print_Area" localSheetId="0">Mantelbogen!$A$1:$E$50</definedName>
    <definedName name="_xlnm.Print_Area" localSheetId="3">Mar!$A:$M</definedName>
    <definedName name="_xlnm.Print_Area" localSheetId="11">Nov!$A:$M</definedName>
    <definedName name="_xlnm.Print_Area" localSheetId="10">Okt!$A:$M</definedName>
    <definedName name="_xlnm.Print_Area" localSheetId="9">Sep!$A:$M</definedName>
    <definedName name="Sonderarbeit">{"sitzung";"Jahresfeier";"Akademievorlesung";"Samstagsarbeit";"Sonderarbeit";"Wochenendarbeit"}</definedName>
    <definedName name="tblMonate">Monate[Monat]</definedName>
    <definedName name="Textcode">Ref!$E$13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48" i="37" l="1"/>
  <c r="F47" i="37"/>
  <c r="F46" i="37"/>
  <c r="F45" i="37"/>
  <c r="F44" i="37"/>
  <c r="F43" i="37"/>
  <c r="F42" i="37"/>
  <c r="F41" i="37"/>
  <c r="F40" i="37"/>
  <c r="F39" i="37"/>
  <c r="F38" i="37"/>
  <c r="F37" i="37"/>
  <c r="F36" i="37"/>
  <c r="F35" i="37"/>
  <c r="F34" i="37"/>
  <c r="F33" i="37"/>
  <c r="F32" i="37"/>
  <c r="F31" i="37"/>
  <c r="F30" i="37"/>
  <c r="F29" i="37"/>
  <c r="F28" i="37"/>
  <c r="F27" i="37"/>
  <c r="F26" i="37"/>
  <c r="F25" i="37"/>
  <c r="F24" i="37"/>
  <c r="F23" i="37"/>
  <c r="F22" i="37"/>
  <c r="F21" i="37"/>
  <c r="F20" i="37"/>
  <c r="H19" i="37"/>
  <c r="F19" i="37"/>
  <c r="F48" i="38"/>
  <c r="F47" i="38"/>
  <c r="F46" i="38"/>
  <c r="F45" i="38"/>
  <c r="F44" i="38"/>
  <c r="F43" i="38"/>
  <c r="F42" i="38"/>
  <c r="F41" i="38"/>
  <c r="F40" i="38"/>
  <c r="F39" i="38"/>
  <c r="F38" i="38"/>
  <c r="F37" i="38"/>
  <c r="F36" i="38"/>
  <c r="F35" i="38"/>
  <c r="F34" i="38"/>
  <c r="F33" i="38"/>
  <c r="F32" i="38"/>
  <c r="F31" i="38"/>
  <c r="F30" i="38"/>
  <c r="F29" i="38"/>
  <c r="F28" i="38"/>
  <c r="F27" i="38"/>
  <c r="F26" i="38"/>
  <c r="F25" i="38"/>
  <c r="F24" i="38"/>
  <c r="F23" i="38"/>
  <c r="F22" i="38"/>
  <c r="F21" i="38"/>
  <c r="F20" i="38"/>
  <c r="F19" i="38"/>
  <c r="F48" i="33"/>
  <c r="F47" i="33"/>
  <c r="F46" i="33"/>
  <c r="F45" i="33"/>
  <c r="F44" i="33"/>
  <c r="F43" i="33"/>
  <c r="F42" i="33"/>
  <c r="F41" i="33"/>
  <c r="F40" i="33"/>
  <c r="F39" i="33"/>
  <c r="F38" i="33"/>
  <c r="F37" i="33"/>
  <c r="F36" i="33"/>
  <c r="F35" i="33"/>
  <c r="F34" i="33"/>
  <c r="F33" i="33"/>
  <c r="F32" i="33"/>
  <c r="F31" i="33"/>
  <c r="F30" i="33"/>
  <c r="F29" i="33"/>
  <c r="F28" i="33"/>
  <c r="F27" i="33"/>
  <c r="F26" i="33"/>
  <c r="F25" i="33"/>
  <c r="F24" i="33"/>
  <c r="F23" i="33"/>
  <c r="H22" i="33"/>
  <c r="F22" i="33"/>
  <c r="F21" i="33"/>
  <c r="F20" i="33"/>
  <c r="F19" i="33"/>
  <c r="H49" i="41"/>
  <c r="F49" i="41"/>
  <c r="F48" i="41"/>
  <c r="F47" i="41"/>
  <c r="F46" i="41"/>
  <c r="F45" i="41"/>
  <c r="H44" i="41"/>
  <c r="F44" i="41"/>
  <c r="H43" i="41"/>
  <c r="F43" i="41"/>
  <c r="H42" i="41"/>
  <c r="F42" i="41"/>
  <c r="F41" i="41"/>
  <c r="F40" i="41"/>
  <c r="F39" i="41"/>
  <c r="F38" i="41"/>
  <c r="F37" i="41"/>
  <c r="F36" i="41"/>
  <c r="F35" i="41"/>
  <c r="F34" i="41"/>
  <c r="F33" i="41"/>
  <c r="F32" i="41"/>
  <c r="F31" i="41"/>
  <c r="F30" i="41"/>
  <c r="F29" i="41"/>
  <c r="F28" i="41"/>
  <c r="F27" i="41"/>
  <c r="F26" i="41"/>
  <c r="F25" i="41"/>
  <c r="F24" i="41"/>
  <c r="F23" i="41"/>
  <c r="F22" i="41"/>
  <c r="F21" i="41"/>
  <c r="F20" i="41"/>
  <c r="F19" i="41"/>
  <c r="F49" i="36"/>
  <c r="F48" i="36"/>
  <c r="F47" i="36"/>
  <c r="F46" i="36"/>
  <c r="F45" i="36"/>
  <c r="F44" i="36"/>
  <c r="F43" i="36"/>
  <c r="F42" i="36"/>
  <c r="F41" i="36"/>
  <c r="F40" i="36"/>
  <c r="F39" i="36"/>
  <c r="F38" i="36"/>
  <c r="F37" i="36"/>
  <c r="F36" i="36"/>
  <c r="F35" i="36"/>
  <c r="F34" i="36"/>
  <c r="F33" i="36"/>
  <c r="F32" i="36"/>
  <c r="F31" i="36"/>
  <c r="F30" i="36"/>
  <c r="F29" i="36"/>
  <c r="F28" i="36"/>
  <c r="F27" i="36"/>
  <c r="F26" i="36"/>
  <c r="F25" i="36"/>
  <c r="F24" i="36"/>
  <c r="F23" i="36"/>
  <c r="F22" i="36"/>
  <c r="H21" i="36"/>
  <c r="F21" i="36"/>
  <c r="F20" i="36"/>
  <c r="F19" i="36"/>
  <c r="F49" i="35"/>
  <c r="F48" i="35"/>
  <c r="F47" i="35"/>
  <c r="F46" i="35"/>
  <c r="F45" i="35"/>
  <c r="F44" i="35"/>
  <c r="F43" i="35"/>
  <c r="F42" i="35"/>
  <c r="F41" i="35"/>
  <c r="F40" i="35"/>
  <c r="F39" i="35"/>
  <c r="F38" i="35"/>
  <c r="F37" i="35"/>
  <c r="F36" i="35"/>
  <c r="F35" i="35"/>
  <c r="F34" i="35"/>
  <c r="F33" i="35"/>
  <c r="F32" i="35"/>
  <c r="F31" i="35"/>
  <c r="F30" i="35"/>
  <c r="F29" i="35"/>
  <c r="F28" i="35"/>
  <c r="F27" i="35"/>
  <c r="F26" i="35"/>
  <c r="F25" i="35"/>
  <c r="F24" i="35"/>
  <c r="F23" i="35"/>
  <c r="F22" i="35"/>
  <c r="F21" i="35"/>
  <c r="F20" i="35"/>
  <c r="F19" i="35"/>
  <c r="F49" i="40"/>
  <c r="F48" i="40"/>
  <c r="F47" i="40"/>
  <c r="F46" i="40"/>
  <c r="F45" i="40"/>
  <c r="F44" i="40"/>
  <c r="F43" i="40"/>
  <c r="F42" i="40"/>
  <c r="F41" i="40"/>
  <c r="F40" i="40"/>
  <c r="F39" i="40"/>
  <c r="F38" i="40"/>
  <c r="F37" i="40"/>
  <c r="F36" i="40"/>
  <c r="F35" i="40"/>
  <c r="F34" i="40"/>
  <c r="F33" i="40"/>
  <c r="F32" i="40"/>
  <c r="F31" i="40"/>
  <c r="F30" i="40"/>
  <c r="F29" i="40"/>
  <c r="F28" i="40"/>
  <c r="F27" i="40"/>
  <c r="F26" i="40"/>
  <c r="F25" i="40"/>
  <c r="F24" i="40"/>
  <c r="F23" i="40"/>
  <c r="F22" i="40"/>
  <c r="F21" i="40"/>
  <c r="F20" i="40"/>
  <c r="F19" i="40"/>
  <c r="F49" i="32"/>
  <c r="F48" i="32"/>
  <c r="F47" i="32"/>
  <c r="F46" i="32"/>
  <c r="F45" i="32"/>
  <c r="F44" i="32"/>
  <c r="H43" i="32"/>
  <c r="F43" i="32"/>
  <c r="H42" i="32"/>
  <c r="F42" i="32"/>
  <c r="F41" i="32"/>
  <c r="F40" i="32"/>
  <c r="F39" i="32"/>
  <c r="F38" i="32"/>
  <c r="F37" i="32"/>
  <c r="F36" i="32"/>
  <c r="F35" i="32"/>
  <c r="F34" i="32"/>
  <c r="F33" i="32"/>
  <c r="H32" i="32"/>
  <c r="F32" i="32"/>
  <c r="F31" i="32"/>
  <c r="F30" i="32"/>
  <c r="F29" i="32"/>
  <c r="F28" i="32"/>
  <c r="F27" i="32"/>
  <c r="F26" i="32"/>
  <c r="F25" i="32"/>
  <c r="F24" i="32"/>
  <c r="F23" i="32"/>
  <c r="F22" i="32"/>
  <c r="F21" i="32"/>
  <c r="F20" i="32"/>
  <c r="H19" i="32"/>
  <c r="F19" i="32"/>
  <c r="N42" i="30" l="1"/>
  <c r="A2" i="45"/>
  <c r="B15" i="45"/>
  <c r="E13" i="45"/>
  <c r="E12" i="45"/>
  <c r="E11" i="45"/>
  <c r="E10" i="45"/>
  <c r="E9" i="45"/>
  <c r="E8" i="45"/>
  <c r="E7" i="45"/>
  <c r="E6" i="45"/>
  <c r="E5" i="45"/>
  <c r="E4" i="45"/>
  <c r="E3" i="45"/>
  <c r="E2" i="45"/>
  <c r="B2" i="45"/>
  <c r="B4" i="45"/>
  <c r="B14" i="45"/>
  <c r="B13" i="45"/>
  <c r="B12" i="45"/>
  <c r="B11" i="45"/>
  <c r="B10" i="45"/>
  <c r="B9" i="45"/>
  <c r="B8" i="45"/>
  <c r="B7" i="45"/>
  <c r="B6" i="45"/>
  <c r="B5" i="45"/>
  <c r="B3" i="45"/>
  <c r="N39" i="37"/>
  <c r="N38" i="37"/>
  <c r="N42" i="36"/>
  <c r="N41" i="36"/>
  <c r="E14" i="45" l="1"/>
  <c r="N36" i="40"/>
  <c r="N35" i="40"/>
  <c r="N38" i="33"/>
  <c r="N37" i="33"/>
  <c r="N36" i="31"/>
  <c r="N41" i="30"/>
  <c r="N35" i="31"/>
  <c r="F19" i="30" l="1"/>
  <c r="H19" i="30" l="1"/>
  <c r="H24" i="30"/>
  <c r="F24" i="30"/>
  <c r="D26" i="42" l="1"/>
  <c r="A49" i="37" l="1"/>
  <c r="E13" i="43" l="1"/>
  <c r="A5" i="42"/>
  <c r="A2" i="43" l="1"/>
  <c r="A8" i="43"/>
  <c r="A6" i="43"/>
  <c r="A5" i="43"/>
  <c r="A3" i="43"/>
  <c r="A7" i="43"/>
  <c r="A4" i="43"/>
  <c r="E34" i="42" l="1"/>
  <c r="E35" i="42" l="1"/>
  <c r="E57" i="30" s="1"/>
  <c r="E37" i="42"/>
  <c r="E58" i="30" s="1"/>
  <c r="E56" i="30"/>
  <c r="C30" i="42"/>
  <c r="G56" i="30" l="1"/>
  <c r="G57" i="30"/>
  <c r="D18" i="42"/>
  <c r="G58" i="30" l="1"/>
  <c r="C33" i="42"/>
  <c r="B33" i="42"/>
  <c r="E58" i="41"/>
  <c r="E57" i="41"/>
  <c r="E56" i="41"/>
  <c r="G57" i="41" s="1"/>
  <c r="E57" i="37"/>
  <c r="E56" i="37"/>
  <c r="E55" i="37"/>
  <c r="G56" i="37" s="1"/>
  <c r="E58" i="36"/>
  <c r="E57" i="36"/>
  <c r="E56" i="36"/>
  <c r="E57" i="38"/>
  <c r="E56" i="38"/>
  <c r="E55" i="38"/>
  <c r="E58" i="35"/>
  <c r="E57" i="35"/>
  <c r="E56" i="35"/>
  <c r="G57" i="35" s="1"/>
  <c r="E58" i="40"/>
  <c r="E57" i="40"/>
  <c r="E56" i="40"/>
  <c r="G57" i="40" s="1"/>
  <c r="E57" i="33"/>
  <c r="E56" i="33"/>
  <c r="E55" i="33"/>
  <c r="G56" i="33" s="1"/>
  <c r="E58" i="32"/>
  <c r="E57" i="32"/>
  <c r="E56" i="32"/>
  <c r="G57" i="32" s="1"/>
  <c r="E57" i="31"/>
  <c r="E56" i="31"/>
  <c r="E55" i="31"/>
  <c r="G56" i="31" s="1"/>
  <c r="E58" i="28"/>
  <c r="E57" i="28"/>
  <c r="E56" i="28"/>
  <c r="E55" i="29"/>
  <c r="E54" i="29"/>
  <c r="E53" i="29"/>
  <c r="G57" i="36" l="1"/>
  <c r="G56" i="38"/>
  <c r="E54" i="38"/>
  <c r="G57" i="28"/>
  <c r="G54" i="29"/>
  <c r="J11" i="30" l="1"/>
  <c r="L58" i="41"/>
  <c r="L57" i="37"/>
  <c r="L58" i="36"/>
  <c r="L57" i="38"/>
  <c r="L58" i="35"/>
  <c r="L58" i="40"/>
  <c r="L57" i="33"/>
  <c r="L58" i="32"/>
  <c r="L57" i="31"/>
  <c r="L58" i="28"/>
  <c r="L55" i="29"/>
  <c r="A50" i="41"/>
  <c r="A50" i="36"/>
  <c r="A49" i="38"/>
  <c r="A50" i="35"/>
  <c r="A50" i="40"/>
  <c r="A49" i="33"/>
  <c r="A50" i="32"/>
  <c r="A49" i="31"/>
  <c r="A50" i="28"/>
  <c r="A47" i="29"/>
  <c r="L58" i="30"/>
  <c r="D14" i="42"/>
  <c r="C24" i="42" s="1"/>
  <c r="A6" i="42"/>
  <c r="A7" i="42" s="1"/>
  <c r="A8" i="42" s="1"/>
  <c r="A9" i="42" s="1"/>
  <c r="A10" i="42" s="1"/>
  <c r="C11" i="30"/>
  <c r="C11" i="29" s="1"/>
  <c r="C11" i="28" s="1"/>
  <c r="C11" i="31" s="1"/>
  <c r="C11" i="32" s="1"/>
  <c r="C11" i="33" s="1"/>
  <c r="C11" i="40" s="1"/>
  <c r="C11" i="35" s="1"/>
  <c r="C11" i="38" s="1"/>
  <c r="C11" i="36" s="1"/>
  <c r="C11" i="37" s="1"/>
  <c r="C11" i="41" s="1"/>
  <c r="C13" i="30"/>
  <c r="C13" i="29" s="1"/>
  <c r="C13" i="28" s="1"/>
  <c r="C13" i="31" s="1"/>
  <c r="C13" i="32" s="1"/>
  <c r="C13" i="33" s="1"/>
  <c r="C13" i="40" s="1"/>
  <c r="C13" i="35" s="1"/>
  <c r="C13" i="38" s="1"/>
  <c r="C13" i="36" s="1"/>
  <c r="C13" i="37" s="1"/>
  <c r="C13" i="41" s="1"/>
  <c r="H52" i="30"/>
  <c r="H49" i="29" s="1"/>
  <c r="H52" i="28" s="1"/>
  <c r="H53" i="30"/>
  <c r="H50" i="29" s="1"/>
  <c r="H53" i="28" s="1"/>
  <c r="H54" i="30"/>
  <c r="H51" i="29" s="1"/>
  <c r="H54" i="28" s="1"/>
  <c r="H55" i="30"/>
  <c r="H52" i="29" s="1"/>
  <c r="H55" i="28" s="1"/>
  <c r="H51" i="30"/>
  <c r="D24" i="42"/>
  <c r="D12" i="42"/>
  <c r="D11" i="42"/>
  <c r="D13" i="42" s="1"/>
  <c r="H48" i="29" l="1"/>
  <c r="H52" i="31"/>
  <c r="H53" i="31"/>
  <c r="H51" i="31"/>
  <c r="H54" i="31"/>
  <c r="I11" i="30"/>
  <c r="B22" i="30" s="1"/>
  <c r="C20" i="42"/>
  <c r="C23" i="42"/>
  <c r="C19" i="42"/>
  <c r="C21" i="42"/>
  <c r="C22" i="42"/>
  <c r="H58" i="30"/>
  <c r="B25" i="42"/>
  <c r="J11" i="31"/>
  <c r="J11" i="37"/>
  <c r="J11" i="29"/>
  <c r="J11" i="40"/>
  <c r="J11" i="36"/>
  <c r="J11" i="28"/>
  <c r="J11" i="33"/>
  <c r="J11" i="38"/>
  <c r="J11" i="41"/>
  <c r="J11" i="32"/>
  <c r="J11" i="35"/>
  <c r="A11" i="42"/>
  <c r="A12" i="42" s="1"/>
  <c r="A13" i="42" s="1"/>
  <c r="A14" i="42"/>
  <c r="H33" i="30" l="1"/>
  <c r="H43" i="30"/>
  <c r="H39" i="30"/>
  <c r="H30" i="30"/>
  <c r="H22" i="30"/>
  <c r="H36" i="30"/>
  <c r="H35" i="30"/>
  <c r="H28" i="30"/>
  <c r="H21" i="30"/>
  <c r="H32" i="30"/>
  <c r="H49" i="30"/>
  <c r="H44" i="30"/>
  <c r="H41" i="30"/>
  <c r="H26" i="30"/>
  <c r="H37" i="30"/>
  <c r="H48" i="30"/>
  <c r="H45" i="30"/>
  <c r="H38" i="30"/>
  <c r="H31" i="30"/>
  <c r="H25" i="30"/>
  <c r="H23" i="30"/>
  <c r="H20" i="30"/>
  <c r="H42" i="30"/>
  <c r="H34" i="30"/>
  <c r="H29" i="30"/>
  <c r="H27" i="30"/>
  <c r="H46" i="30"/>
  <c r="H40" i="30"/>
  <c r="H47" i="30"/>
  <c r="H51" i="28"/>
  <c r="H50" i="31" s="1"/>
  <c r="H55" i="29"/>
  <c r="H55" i="32"/>
  <c r="H54" i="32"/>
  <c r="H53" i="32"/>
  <c r="H52" i="33" s="1"/>
  <c r="H52" i="32"/>
  <c r="B35" i="30"/>
  <c r="B40" i="30"/>
  <c r="B29" i="30"/>
  <c r="B28" i="30"/>
  <c r="B44" i="30"/>
  <c r="B32" i="30"/>
  <c r="I17" i="30"/>
  <c r="N16" i="30" s="1"/>
  <c r="B38" i="30"/>
  <c r="B19" i="30"/>
  <c r="B34" i="30"/>
  <c r="B25" i="30"/>
  <c r="B31" i="30"/>
  <c r="B24" i="30"/>
  <c r="B45" i="30"/>
  <c r="B27" i="30"/>
  <c r="B46" i="30"/>
  <c r="B39" i="30"/>
  <c r="B36" i="30"/>
  <c r="B37" i="30"/>
  <c r="I11" i="28"/>
  <c r="H48" i="28" s="1"/>
  <c r="B49" i="30"/>
  <c r="B26" i="30"/>
  <c r="B48" i="30"/>
  <c r="B30" i="30"/>
  <c r="I11" i="40"/>
  <c r="B45" i="40" s="1"/>
  <c r="L45" i="40" s="1"/>
  <c r="I11" i="35"/>
  <c r="H48" i="35" s="1"/>
  <c r="I11" i="32"/>
  <c r="B33" i="32" s="1"/>
  <c r="I11" i="37"/>
  <c r="B19" i="37" s="1"/>
  <c r="I11" i="41"/>
  <c r="B37" i="41" s="1"/>
  <c r="I11" i="38"/>
  <c r="B28" i="38" s="1"/>
  <c r="L28" i="38" s="1"/>
  <c r="J17" i="30"/>
  <c r="B47" i="30"/>
  <c r="B21" i="30"/>
  <c r="B42" i="30"/>
  <c r="B33" i="30"/>
  <c r="I11" i="36"/>
  <c r="B46" i="36" s="1"/>
  <c r="I11" i="33"/>
  <c r="B25" i="33" s="1"/>
  <c r="B23" i="30"/>
  <c r="B20" i="30"/>
  <c r="B41" i="30"/>
  <c r="B43" i="30"/>
  <c r="I11" i="29"/>
  <c r="H37" i="29" s="1"/>
  <c r="I11" i="31"/>
  <c r="B42" i="31" s="1"/>
  <c r="G53" i="29"/>
  <c r="G55" i="29" s="1"/>
  <c r="G56" i="28" s="1"/>
  <c r="G58" i="28" s="1"/>
  <c r="G55" i="31" s="1"/>
  <c r="G57" i="31" s="1"/>
  <c r="G56" i="32" s="1"/>
  <c r="G58" i="32" s="1"/>
  <c r="G55" i="33" s="1"/>
  <c r="G57" i="33" s="1"/>
  <c r="G56" i="40" s="1"/>
  <c r="G58" i="40" s="1"/>
  <c r="G56" i="35" s="1"/>
  <c r="G58" i="35" s="1"/>
  <c r="G55" i="38" s="1"/>
  <c r="G57" i="38" s="1"/>
  <c r="G56" i="36" s="1"/>
  <c r="G58" i="36" s="1"/>
  <c r="G55" i="37" s="1"/>
  <c r="G57" i="37" s="1"/>
  <c r="G56" i="41" s="1"/>
  <c r="G58" i="41" s="1"/>
  <c r="A15" i="42"/>
  <c r="A18" i="42"/>
  <c r="H41" i="32" l="1"/>
  <c r="H49" i="32"/>
  <c r="H39" i="32"/>
  <c r="H21" i="32"/>
  <c r="B21" i="32"/>
  <c r="I21" i="32" s="1" a="1"/>
  <c r="I21" i="32" s="1"/>
  <c r="B30" i="32"/>
  <c r="L30" i="32" s="1"/>
  <c r="B30" i="40"/>
  <c r="B42" i="32"/>
  <c r="J42" i="32" s="1" a="1"/>
  <c r="J42" i="32" s="1"/>
  <c r="H38" i="29"/>
  <c r="B44" i="40"/>
  <c r="H29" i="40"/>
  <c r="B36" i="40"/>
  <c r="B40" i="40"/>
  <c r="L40" i="40" s="1"/>
  <c r="B26" i="40"/>
  <c r="L26" i="40" s="1"/>
  <c r="B28" i="40"/>
  <c r="L28" i="40" s="1"/>
  <c r="B47" i="40"/>
  <c r="L47" i="40" s="1"/>
  <c r="B22" i="40"/>
  <c r="L22" i="40" s="1"/>
  <c r="B41" i="40"/>
  <c r="L41" i="40" s="1"/>
  <c r="H30" i="40"/>
  <c r="J30" i="40" s="1" a="1"/>
  <c r="J30" i="40" s="1"/>
  <c r="B38" i="40"/>
  <c r="B28" i="32"/>
  <c r="H22" i="40"/>
  <c r="I22" i="40" s="1" a="1"/>
  <c r="I22" i="40" s="1"/>
  <c r="B32" i="32"/>
  <c r="L32" i="32" s="1"/>
  <c r="B23" i="40"/>
  <c r="B21" i="40"/>
  <c r="L21" i="40" s="1"/>
  <c r="H27" i="32"/>
  <c r="H36" i="31"/>
  <c r="H27" i="35"/>
  <c r="B43" i="35"/>
  <c r="B35" i="36"/>
  <c r="L35" i="36" s="1"/>
  <c r="B45" i="35"/>
  <c r="L45" i="35" s="1"/>
  <c r="H47" i="35"/>
  <c r="B47" i="35"/>
  <c r="L47" i="35" s="1"/>
  <c r="B35" i="37"/>
  <c r="L35" i="37" s="1"/>
  <c r="H47" i="37"/>
  <c r="B27" i="35"/>
  <c r="B44" i="37"/>
  <c r="L44" i="37" s="1"/>
  <c r="B25" i="37"/>
  <c r="B19" i="35"/>
  <c r="L19" i="35" s="1"/>
  <c r="H42" i="36"/>
  <c r="B26" i="35"/>
  <c r="L26" i="35" s="1"/>
  <c r="B41" i="37"/>
  <c r="L41" i="37" s="1"/>
  <c r="H41" i="35"/>
  <c r="B29" i="40"/>
  <c r="L29" i="40" s="1"/>
  <c r="H32" i="33"/>
  <c r="B36" i="33"/>
  <c r="L36" i="33" s="1"/>
  <c r="H35" i="36"/>
  <c r="B26" i="33"/>
  <c r="L26" i="33" s="1"/>
  <c r="B39" i="33"/>
  <c r="B22" i="36"/>
  <c r="H31" i="33"/>
  <c r="B47" i="33"/>
  <c r="L47" i="33" s="1"/>
  <c r="B22" i="33"/>
  <c r="J22" i="33" s="1" a="1"/>
  <c r="J22" i="33" s="1"/>
  <c r="B32" i="36"/>
  <c r="L32" i="36" s="1"/>
  <c r="B32" i="38"/>
  <c r="L32" i="38" s="1"/>
  <c r="B45" i="36"/>
  <c r="L45" i="36" s="1"/>
  <c r="B46" i="33"/>
  <c r="H44" i="38"/>
  <c r="B47" i="36"/>
  <c r="L47" i="36" s="1"/>
  <c r="B32" i="41"/>
  <c r="L32" i="41" s="1"/>
  <c r="B39" i="40"/>
  <c r="L39" i="40" s="1"/>
  <c r="H37" i="41"/>
  <c r="J37" i="41" s="1" a="1"/>
  <c r="J37" i="41" s="1"/>
  <c r="B33" i="33"/>
  <c r="L33" i="33" s="1"/>
  <c r="H25" i="33"/>
  <c r="J25" i="33" s="1" a="1"/>
  <c r="J25" i="33" s="1"/>
  <c r="H24" i="41"/>
  <c r="H47" i="32"/>
  <c r="B20" i="40"/>
  <c r="L20" i="40" s="1"/>
  <c r="H49" i="36"/>
  <c r="J49" i="36" s="1" a="1"/>
  <c r="J49" i="36" s="1"/>
  <c r="B27" i="41"/>
  <c r="L27" i="41" s="1"/>
  <c r="B28" i="33"/>
  <c r="L28" i="33" s="1"/>
  <c r="H20" i="32"/>
  <c r="B24" i="40"/>
  <c r="L24" i="40" s="1"/>
  <c r="H26" i="37"/>
  <c r="B25" i="40"/>
  <c r="L25" i="40" s="1"/>
  <c r="B47" i="37"/>
  <c r="H28" i="36"/>
  <c r="B32" i="33"/>
  <c r="H24" i="33"/>
  <c r="H43" i="36"/>
  <c r="B30" i="33"/>
  <c r="L30" i="33" s="1"/>
  <c r="H36" i="36"/>
  <c r="H22" i="36"/>
  <c r="B31" i="36"/>
  <c r="L31" i="36" s="1"/>
  <c r="B29" i="33"/>
  <c r="L29" i="33" s="1"/>
  <c r="B37" i="36"/>
  <c r="L37" i="36" s="1"/>
  <c r="H39" i="33"/>
  <c r="B23" i="36"/>
  <c r="L23" i="36" s="1"/>
  <c r="B49" i="36"/>
  <c r="B41" i="36"/>
  <c r="L41" i="36" s="1"/>
  <c r="B27" i="36"/>
  <c r="L27" i="36" s="1"/>
  <c r="B27" i="33"/>
  <c r="L27" i="33" s="1"/>
  <c r="B34" i="36"/>
  <c r="L34" i="36" s="1"/>
  <c r="B21" i="36"/>
  <c r="L21" i="36" s="1"/>
  <c r="B44" i="36"/>
  <c r="L44" i="36" s="1"/>
  <c r="B36" i="41"/>
  <c r="L36" i="41" s="1"/>
  <c r="H48" i="32"/>
  <c r="B22" i="41"/>
  <c r="L22" i="41" s="1"/>
  <c r="B42" i="33"/>
  <c r="L42" i="33" s="1"/>
  <c r="B49" i="32"/>
  <c r="I49" i="32" s="1" a="1"/>
  <c r="I49" i="32" s="1"/>
  <c r="B19" i="41"/>
  <c r="L19" i="41" s="1"/>
  <c r="B24" i="32"/>
  <c r="L24" i="32" s="1"/>
  <c r="B42" i="40"/>
  <c r="L42" i="40" s="1"/>
  <c r="H38" i="33"/>
  <c r="B40" i="32"/>
  <c r="L40" i="32" s="1"/>
  <c r="B37" i="38"/>
  <c r="L37" i="38" s="1"/>
  <c r="B26" i="36"/>
  <c r="L26" i="36" s="1"/>
  <c r="H26" i="32"/>
  <c r="B31" i="40"/>
  <c r="L31" i="40" s="1"/>
  <c r="B46" i="38"/>
  <c r="L46" i="38" s="1"/>
  <c r="B24" i="36"/>
  <c r="L24" i="36" s="1"/>
  <c r="B47" i="41"/>
  <c r="L47" i="41" s="1"/>
  <c r="H33" i="32"/>
  <c r="I33" i="32" s="1" a="1"/>
  <c r="I33" i="32" s="1"/>
  <c r="B33" i="40"/>
  <c r="L33" i="40" s="1"/>
  <c r="B42" i="38"/>
  <c r="L42" i="38" s="1"/>
  <c r="B36" i="36"/>
  <c r="B21" i="33"/>
  <c r="L21" i="33" s="1"/>
  <c r="B37" i="40"/>
  <c r="B30" i="37"/>
  <c r="L30" i="37" s="1"/>
  <c r="B29" i="36"/>
  <c r="B21" i="41"/>
  <c r="L21" i="41" s="1"/>
  <c r="B41" i="33"/>
  <c r="L41" i="33" s="1"/>
  <c r="B27" i="32"/>
  <c r="L27" i="32" s="1"/>
  <c r="H46" i="37"/>
  <c r="B20" i="36"/>
  <c r="L20" i="36" s="1"/>
  <c r="B43" i="33"/>
  <c r="L43" i="33" s="1"/>
  <c r="B44" i="33"/>
  <c r="L44" i="33" s="1"/>
  <c r="B34" i="32"/>
  <c r="L34" i="32" s="1"/>
  <c r="B34" i="40"/>
  <c r="L34" i="40" s="1"/>
  <c r="H29" i="36"/>
  <c r="B23" i="33"/>
  <c r="L23" i="33" s="1"/>
  <c r="B37" i="33"/>
  <c r="H39" i="31"/>
  <c r="H44" i="40"/>
  <c r="J44" i="40" s="1" a="1"/>
  <c r="J44" i="40" s="1"/>
  <c r="B27" i="37"/>
  <c r="L27" i="37" s="1"/>
  <c r="B28" i="36"/>
  <c r="L28" i="36" s="1"/>
  <c r="B45" i="33"/>
  <c r="L45" i="33" s="1"/>
  <c r="B24" i="33"/>
  <c r="L24" i="33" s="1"/>
  <c r="B40" i="36"/>
  <c r="L40" i="36" s="1"/>
  <c r="H45" i="33"/>
  <c r="J45" i="33" s="1" a="1"/>
  <c r="J45" i="33" s="1"/>
  <c r="B31" i="33"/>
  <c r="L31" i="33" s="1"/>
  <c r="L37" i="41"/>
  <c r="H42" i="33"/>
  <c r="H21" i="33"/>
  <c r="H28" i="33"/>
  <c r="L46" i="36"/>
  <c r="L33" i="32"/>
  <c r="I19" i="37" a="1"/>
  <c r="I19" i="37" s="1"/>
  <c r="J19" i="37" a="1"/>
  <c r="J19" i="37" s="1"/>
  <c r="L43" i="35"/>
  <c r="B39" i="32"/>
  <c r="L39" i="32" s="1"/>
  <c r="B35" i="41"/>
  <c r="B46" i="32"/>
  <c r="B37" i="35"/>
  <c r="H45" i="38"/>
  <c r="B39" i="41"/>
  <c r="B28" i="41"/>
  <c r="H38" i="32"/>
  <c r="H28" i="32"/>
  <c r="B38" i="35"/>
  <c r="L38" i="35" s="1"/>
  <c r="B25" i="35"/>
  <c r="B48" i="40"/>
  <c r="B35" i="40"/>
  <c r="L35" i="40" s="1"/>
  <c r="B46" i="37"/>
  <c r="H33" i="37"/>
  <c r="B38" i="37"/>
  <c r="B26" i="41"/>
  <c r="B41" i="41"/>
  <c r="B41" i="32"/>
  <c r="B38" i="32"/>
  <c r="B35" i="35"/>
  <c r="B32" i="40"/>
  <c r="B27" i="40"/>
  <c r="B39" i="38"/>
  <c r="L39" i="38" s="1"/>
  <c r="B43" i="37"/>
  <c r="L43" i="37" s="1"/>
  <c r="H23" i="41"/>
  <c r="B35" i="32"/>
  <c r="B29" i="32"/>
  <c r="L29" i="32" s="1"/>
  <c r="B21" i="35"/>
  <c r="B36" i="35"/>
  <c r="B19" i="40"/>
  <c r="H31" i="38"/>
  <c r="B20" i="37"/>
  <c r="B34" i="37"/>
  <c r="B25" i="36"/>
  <c r="B43" i="36"/>
  <c r="B43" i="41"/>
  <c r="B34" i="41"/>
  <c r="L34" i="41" s="1"/>
  <c r="B40" i="33"/>
  <c r="L40" i="33" s="1"/>
  <c r="B35" i="33"/>
  <c r="L35" i="33" s="1"/>
  <c r="L38" i="40"/>
  <c r="B49" i="41"/>
  <c r="B24" i="41"/>
  <c r="B48" i="38"/>
  <c r="B25" i="41"/>
  <c r="L25" i="41" s="1"/>
  <c r="B47" i="32"/>
  <c r="B48" i="35"/>
  <c r="I48" i="35" s="1" a="1"/>
  <c r="I48" i="35" s="1"/>
  <c r="B36" i="32"/>
  <c r="L36" i="32" s="1"/>
  <c r="B31" i="35"/>
  <c r="B28" i="35"/>
  <c r="B30" i="38"/>
  <c r="B25" i="38"/>
  <c r="B45" i="32"/>
  <c r="H39" i="37"/>
  <c r="B31" i="41"/>
  <c r="H25" i="32"/>
  <c r="H40" i="37"/>
  <c r="B40" i="35"/>
  <c r="B43" i="38"/>
  <c r="L43" i="38" s="1"/>
  <c r="B30" i="41"/>
  <c r="B20" i="41"/>
  <c r="B23" i="32"/>
  <c r="H44" i="32"/>
  <c r="B44" i="35"/>
  <c r="H37" i="38"/>
  <c r="H23" i="38"/>
  <c r="B34" i="38"/>
  <c r="L34" i="38" s="1"/>
  <c r="B40" i="37"/>
  <c r="B39" i="36"/>
  <c r="B33" i="36"/>
  <c r="L33" i="36" s="1"/>
  <c r="H30" i="41"/>
  <c r="B48" i="33"/>
  <c r="B38" i="33"/>
  <c r="H30" i="38"/>
  <c r="L25" i="37"/>
  <c r="H38" i="41"/>
  <c r="B22" i="32"/>
  <c r="H38" i="38"/>
  <c r="B37" i="37"/>
  <c r="H24" i="32"/>
  <c r="B26" i="38"/>
  <c r="H25" i="37"/>
  <c r="B21" i="37"/>
  <c r="H19" i="35"/>
  <c r="B22" i="35"/>
  <c r="L22" i="35" s="1"/>
  <c r="B29" i="38"/>
  <c r="H20" i="35"/>
  <c r="B21" i="38"/>
  <c r="B48" i="37"/>
  <c r="B31" i="32"/>
  <c r="B29" i="35"/>
  <c r="B46" i="35"/>
  <c r="L46" i="35" s="1"/>
  <c r="B49" i="35"/>
  <c r="H23" i="32"/>
  <c r="B30" i="35"/>
  <c r="L30" i="35" s="1"/>
  <c r="B41" i="35"/>
  <c r="B43" i="40"/>
  <c r="H43" i="40"/>
  <c r="B41" i="38"/>
  <c r="B26" i="37"/>
  <c r="B42" i="36"/>
  <c r="B48" i="36"/>
  <c r="L48" i="36" s="1"/>
  <c r="B44" i="41"/>
  <c r="B45" i="41"/>
  <c r="B34" i="33"/>
  <c r="H46" i="33"/>
  <c r="B23" i="41"/>
  <c r="H32" i="37"/>
  <c r="H40" i="32"/>
  <c r="L36" i="40"/>
  <c r="B45" i="37"/>
  <c r="B48" i="41"/>
  <c r="H46" i="32"/>
  <c r="H35" i="32"/>
  <c r="B39" i="35"/>
  <c r="H33" i="35"/>
  <c r="B38" i="38"/>
  <c r="B19" i="32"/>
  <c r="B47" i="38"/>
  <c r="B20" i="38"/>
  <c r="B36" i="37"/>
  <c r="L36" i="37" s="1"/>
  <c r="B23" i="37"/>
  <c r="B44" i="32"/>
  <c r="B34" i="35"/>
  <c r="H30" i="32"/>
  <c r="B23" i="35"/>
  <c r="H24" i="38"/>
  <c r="B37" i="32"/>
  <c r="B43" i="32"/>
  <c r="H45" i="32"/>
  <c r="B26" i="32"/>
  <c r="L26" i="32" s="1"/>
  <c r="B24" i="35"/>
  <c r="H36" i="40"/>
  <c r="B23" i="38"/>
  <c r="B39" i="37"/>
  <c r="L39" i="37" s="1"/>
  <c r="B28" i="37"/>
  <c r="L28" i="37" s="1"/>
  <c r="B30" i="36"/>
  <c r="B38" i="36"/>
  <c r="B29" i="41"/>
  <c r="H31" i="41"/>
  <c r="B20" i="33"/>
  <c r="B19" i="33"/>
  <c r="B44" i="38"/>
  <c r="L44" i="38" s="1"/>
  <c r="B24" i="38"/>
  <c r="B22" i="38"/>
  <c r="B31" i="38"/>
  <c r="B33" i="37"/>
  <c r="B33" i="38"/>
  <c r="B24" i="37"/>
  <c r="L24" i="37" s="1"/>
  <c r="B40" i="41"/>
  <c r="L40" i="41" s="1"/>
  <c r="H26" i="35"/>
  <c r="B31" i="37"/>
  <c r="L31" i="37" s="1"/>
  <c r="B33" i="41"/>
  <c r="H34" i="32"/>
  <c r="B20" i="35"/>
  <c r="H45" i="41"/>
  <c r="H40" i="35"/>
  <c r="B49" i="40"/>
  <c r="B22" i="37"/>
  <c r="B46" i="41"/>
  <c r="L37" i="33"/>
  <c r="B25" i="32"/>
  <c r="B42" i="35"/>
  <c r="H23" i="40"/>
  <c r="B45" i="38"/>
  <c r="H37" i="32"/>
  <c r="B36" i="38"/>
  <c r="B27" i="38"/>
  <c r="B29" i="37"/>
  <c r="B32" i="37"/>
  <c r="H31" i="32"/>
  <c r="B48" i="32"/>
  <c r="L48" i="32" s="1"/>
  <c r="B20" i="32"/>
  <c r="B32" i="35"/>
  <c r="B33" i="35"/>
  <c r="H34" i="35"/>
  <c r="B46" i="40"/>
  <c r="H37" i="40"/>
  <c r="B40" i="38"/>
  <c r="B19" i="38"/>
  <c r="B35" i="38"/>
  <c r="B42" i="37"/>
  <c r="B19" i="36"/>
  <c r="B42" i="41"/>
  <c r="B38" i="41"/>
  <c r="H35" i="33"/>
  <c r="H24" i="28"/>
  <c r="H54" i="33"/>
  <c r="H44" i="33" s="1"/>
  <c r="H36" i="28"/>
  <c r="B30" i="28"/>
  <c r="H27" i="28"/>
  <c r="H22" i="28"/>
  <c r="H20" i="28"/>
  <c r="B39" i="28"/>
  <c r="H42" i="28"/>
  <c r="H35" i="28"/>
  <c r="H40" i="28"/>
  <c r="B46" i="28"/>
  <c r="B48" i="28"/>
  <c r="B22" i="28"/>
  <c r="H47" i="28"/>
  <c r="H45" i="28"/>
  <c r="B36" i="28"/>
  <c r="B26" i="28"/>
  <c r="B44" i="28"/>
  <c r="B33" i="28"/>
  <c r="H21" i="28"/>
  <c r="H43" i="28"/>
  <c r="B27" i="28"/>
  <c r="H38" i="28"/>
  <c r="B43" i="28"/>
  <c r="B20" i="28"/>
  <c r="B35" i="28"/>
  <c r="B38" i="28"/>
  <c r="H32" i="28"/>
  <c r="H29" i="28"/>
  <c r="H37" i="28"/>
  <c r="H26" i="28"/>
  <c r="H49" i="28"/>
  <c r="B31" i="28"/>
  <c r="H19" i="28"/>
  <c r="B42" i="28"/>
  <c r="H30" i="28"/>
  <c r="B32" i="28"/>
  <c r="H34" i="28"/>
  <c r="B29" i="28"/>
  <c r="B19" i="28"/>
  <c r="H25" i="28"/>
  <c r="H28" i="28"/>
  <c r="B47" i="28"/>
  <c r="H41" i="28"/>
  <c r="B49" i="28"/>
  <c r="B40" i="28"/>
  <c r="B21" i="28"/>
  <c r="B28" i="28"/>
  <c r="H46" i="28"/>
  <c r="B45" i="28"/>
  <c r="B24" i="28"/>
  <c r="H39" i="28"/>
  <c r="B41" i="28"/>
  <c r="H23" i="28"/>
  <c r="B25" i="28"/>
  <c r="B34" i="28"/>
  <c r="H58" i="28"/>
  <c r="B23" i="28"/>
  <c r="H31" i="28"/>
  <c r="H33" i="28"/>
  <c r="B37" i="28"/>
  <c r="H44" i="28"/>
  <c r="J19" i="30"/>
  <c r="I19" i="30"/>
  <c r="J24" i="30"/>
  <c r="I24" i="30"/>
  <c r="H21" i="29"/>
  <c r="H22" i="31"/>
  <c r="H25" i="29"/>
  <c r="H35" i="29"/>
  <c r="H19" i="31"/>
  <c r="J19" i="31" s="1" a="1"/>
  <c r="J19" i="31" s="1"/>
  <c r="H31" i="31"/>
  <c r="H27" i="31"/>
  <c r="H24" i="31"/>
  <c r="H21" i="31"/>
  <c r="H20" i="31"/>
  <c r="H44" i="31"/>
  <c r="H42" i="29"/>
  <c r="H40" i="31"/>
  <c r="H27" i="29"/>
  <c r="H28" i="29"/>
  <c r="H32" i="29"/>
  <c r="H44" i="29"/>
  <c r="H40" i="29"/>
  <c r="H22" i="29"/>
  <c r="H19" i="29"/>
  <c r="H45" i="29"/>
  <c r="H30" i="29"/>
  <c r="H47" i="31"/>
  <c r="H36" i="29"/>
  <c r="H34" i="29"/>
  <c r="H33" i="29"/>
  <c r="H41" i="29"/>
  <c r="H28" i="31"/>
  <c r="H31" i="29"/>
  <c r="H48" i="31"/>
  <c r="H29" i="29"/>
  <c r="H26" i="29"/>
  <c r="H43" i="31"/>
  <c r="H41" i="31"/>
  <c r="H35" i="31"/>
  <c r="H39" i="29"/>
  <c r="H23" i="31"/>
  <c r="H45" i="31"/>
  <c r="H24" i="29"/>
  <c r="H37" i="31"/>
  <c r="H38" i="31"/>
  <c r="H43" i="29"/>
  <c r="H29" i="31"/>
  <c r="H34" i="31"/>
  <c r="H30" i="31"/>
  <c r="H23" i="29"/>
  <c r="H42" i="31"/>
  <c r="H20" i="29"/>
  <c r="H46" i="29"/>
  <c r="H33" i="31"/>
  <c r="H26" i="31"/>
  <c r="H32" i="31"/>
  <c r="H25" i="31"/>
  <c r="H46" i="31"/>
  <c r="F49" i="30"/>
  <c r="L42" i="31"/>
  <c r="H51" i="33"/>
  <c r="H53" i="33"/>
  <c r="H43" i="33" s="1"/>
  <c r="H53" i="40"/>
  <c r="H40" i="40" s="1"/>
  <c r="H51" i="32"/>
  <c r="H29" i="32" s="1"/>
  <c r="B26" i="31"/>
  <c r="N17" i="30"/>
  <c r="K17" i="30"/>
  <c r="N18" i="30"/>
  <c r="B45" i="31"/>
  <c r="B33" i="31"/>
  <c r="B29" i="31"/>
  <c r="B47" i="31"/>
  <c r="B34" i="31"/>
  <c r="B21" i="31"/>
  <c r="B27" i="29"/>
  <c r="L19" i="30"/>
  <c r="B30" i="31"/>
  <c r="B19" i="31"/>
  <c r="B44" i="29"/>
  <c r="B45" i="29"/>
  <c r="B30" i="29"/>
  <c r="B19" i="29"/>
  <c r="B43" i="29"/>
  <c r="B28" i="29"/>
  <c r="B21" i="29"/>
  <c r="B34" i="29"/>
  <c r="B46" i="29"/>
  <c r="B42" i="29"/>
  <c r="B26" i="29"/>
  <c r="B39" i="29"/>
  <c r="B29" i="29"/>
  <c r="B37" i="29"/>
  <c r="I37" i="29" s="1" a="1"/>
  <c r="I37" i="29" s="1"/>
  <c r="B41" i="29"/>
  <c r="B32" i="29"/>
  <c r="B20" i="29"/>
  <c r="B22" i="29"/>
  <c r="B38" i="29"/>
  <c r="I38" i="29" s="1" a="1"/>
  <c r="I38" i="29" s="1"/>
  <c r="B31" i="29"/>
  <c r="B24" i="29"/>
  <c r="B25" i="29"/>
  <c r="B35" i="29"/>
  <c r="B36" i="29"/>
  <c r="B40" i="29"/>
  <c r="B33" i="29"/>
  <c r="B23" i="29"/>
  <c r="B39" i="31"/>
  <c r="B43" i="31"/>
  <c r="B24" i="31"/>
  <c r="B22" i="31"/>
  <c r="B20" i="31"/>
  <c r="L20" i="31" s="1"/>
  <c r="B27" i="31"/>
  <c r="B25" i="31"/>
  <c r="B28" i="31"/>
  <c r="B23" i="31"/>
  <c r="B40" i="31"/>
  <c r="B32" i="31"/>
  <c r="B35" i="31"/>
  <c r="B31" i="31"/>
  <c r="B37" i="31"/>
  <c r="B46" i="31"/>
  <c r="B38" i="31"/>
  <c r="B41" i="31"/>
  <c r="B44" i="31"/>
  <c r="B36" i="31"/>
  <c r="B48" i="31"/>
  <c r="A19" i="42"/>
  <c r="A16" i="42"/>
  <c r="H57" i="31"/>
  <c r="J21" i="32" l="1" a="1"/>
  <c r="J21" i="32" s="1"/>
  <c r="I37" i="41" a="1"/>
  <c r="I37" i="41" s="1"/>
  <c r="I44" i="40" a="1"/>
  <c r="I44" i="40" s="1"/>
  <c r="J41" i="32" a="1"/>
  <c r="J41" i="32" s="1"/>
  <c r="I25" i="33" a="1"/>
  <c r="I25" i="33" s="1"/>
  <c r="J32" i="32" a="1"/>
  <c r="J32" i="32" s="1"/>
  <c r="I32" i="32" a="1"/>
  <c r="I32" i="32" s="1"/>
  <c r="I36" i="36" a="1"/>
  <c r="I36" i="36" s="1"/>
  <c r="J27" i="35" a="1"/>
  <c r="J27" i="35" s="1"/>
  <c r="I42" i="32" a="1"/>
  <c r="I42" i="32" s="1"/>
  <c r="I47" i="37" a="1"/>
  <c r="I47" i="37" s="1"/>
  <c r="I31" i="33" a="1"/>
  <c r="I31" i="33" s="1"/>
  <c r="I29" i="36" a="1"/>
  <c r="I29" i="36" s="1"/>
  <c r="J22" i="40" a="1"/>
  <c r="J22" i="40" s="1"/>
  <c r="I47" i="35" a="1"/>
  <c r="I47" i="35" s="1"/>
  <c r="I29" i="40" a="1"/>
  <c r="I29" i="40" s="1"/>
  <c r="I39" i="31" a="1"/>
  <c r="I39" i="31" s="1"/>
  <c r="L22" i="33"/>
  <c r="I27" i="35" a="1"/>
  <c r="I27" i="35" s="1"/>
  <c r="H26" i="40"/>
  <c r="J26" i="40" s="1" a="1"/>
  <c r="J26" i="40" s="1"/>
  <c r="J35" i="36" a="1"/>
  <c r="J35" i="36" s="1"/>
  <c r="J29" i="36" a="1"/>
  <c r="J29" i="36" s="1"/>
  <c r="J22" i="36" a="1"/>
  <c r="J22" i="36" s="1"/>
  <c r="J43" i="36" a="1"/>
  <c r="J43" i="36" s="1"/>
  <c r="J48" i="35" a="1"/>
  <c r="J48" i="35" s="1"/>
  <c r="I30" i="40" a="1"/>
  <c r="I30" i="40" s="1"/>
  <c r="I38" i="33" a="1"/>
  <c r="I38" i="33" s="1"/>
  <c r="J36" i="31" a="1"/>
  <c r="J36" i="31" s="1"/>
  <c r="J47" i="35" a="1"/>
  <c r="J47" i="35" s="1"/>
  <c r="J47" i="32" a="1"/>
  <c r="J47" i="32" s="1"/>
  <c r="I35" i="36" a="1"/>
  <c r="I35" i="36" s="1"/>
  <c r="I22" i="36" a="1"/>
  <c r="I22" i="36" s="1"/>
  <c r="H55" i="40"/>
  <c r="H28" i="40" s="1"/>
  <c r="J28" i="40" s="1" a="1"/>
  <c r="J28" i="40" s="1"/>
  <c r="I24" i="33" a="1"/>
  <c r="I24" i="33" s="1"/>
  <c r="I39" i="33" a="1"/>
  <c r="I39" i="33" s="1"/>
  <c r="J36" i="36" a="1"/>
  <c r="J36" i="36" s="1"/>
  <c r="J42" i="36" a="1"/>
  <c r="J42" i="36" s="1"/>
  <c r="I32" i="33" a="1"/>
  <c r="I32" i="33" s="1"/>
  <c r="J29" i="40" a="1"/>
  <c r="J29" i="40" s="1"/>
  <c r="I30" i="31" a="1"/>
  <c r="I30" i="31" s="1"/>
  <c r="I26" i="32" a="1"/>
  <c r="I26" i="32" s="1"/>
  <c r="J44" i="38" a="1"/>
  <c r="J44" i="38" s="1"/>
  <c r="I28" i="36" a="1"/>
  <c r="I28" i="36" s="1"/>
  <c r="I43" i="36" a="1"/>
  <c r="I43" i="36" s="1"/>
  <c r="I49" i="36" a="1"/>
  <c r="I49" i="36" s="1"/>
  <c r="J20" i="31" a="1"/>
  <c r="J20" i="31" s="1"/>
  <c r="J21" i="31" a="1"/>
  <c r="J21" i="31" s="1"/>
  <c r="J24" i="41" a="1"/>
  <c r="J24" i="41" s="1"/>
  <c r="J49" i="32" a="1"/>
  <c r="J49" i="32" s="1"/>
  <c r="J33" i="32" a="1"/>
  <c r="J33" i="32" s="1"/>
  <c r="I45" i="33" a="1"/>
  <c r="I45" i="33" s="1"/>
  <c r="I21" i="36" a="1"/>
  <c r="I21" i="36" s="1"/>
  <c r="J39" i="33" a="1"/>
  <c r="J39" i="33" s="1"/>
  <c r="J47" i="37" a="1"/>
  <c r="J47" i="37" s="1"/>
  <c r="I22" i="33" a="1"/>
  <c r="I22" i="33" s="1"/>
  <c r="J28" i="36" a="1"/>
  <c r="J28" i="36" s="1"/>
  <c r="I42" i="36" a="1"/>
  <c r="I42" i="36" s="1"/>
  <c r="J31" i="33" a="1"/>
  <c r="J31" i="33" s="1"/>
  <c r="J32" i="33" a="1"/>
  <c r="J32" i="33" s="1"/>
  <c r="J27" i="31" a="1"/>
  <c r="J27" i="31" s="1"/>
  <c r="J21" i="36" a="1"/>
  <c r="J21" i="36" s="1"/>
  <c r="J24" i="33" a="1"/>
  <c r="J24" i="33" s="1"/>
  <c r="J38" i="33" a="1"/>
  <c r="J38" i="33" s="1"/>
  <c r="I27" i="32" a="1"/>
  <c r="I27" i="32" s="1"/>
  <c r="H36" i="32"/>
  <c r="I36" i="32" s="1" a="1"/>
  <c r="I36" i="32" s="1"/>
  <c r="J27" i="32" a="1"/>
  <c r="J27" i="32" s="1"/>
  <c r="I44" i="38" a="1"/>
  <c r="I44" i="38" s="1"/>
  <c r="J44" i="33" a="1"/>
  <c r="J44" i="33" s="1"/>
  <c r="I44" i="33" a="1"/>
  <c r="I44" i="33" s="1"/>
  <c r="J43" i="33" a="1"/>
  <c r="J43" i="33" s="1"/>
  <c r="I43" i="33" a="1"/>
  <c r="I43" i="33" s="1"/>
  <c r="L36" i="35"/>
  <c r="J19" i="29" a="1"/>
  <c r="J19" i="29" s="1"/>
  <c r="I19" i="29" a="1"/>
  <c r="I19" i="29" s="1"/>
  <c r="J38" i="29" a="1"/>
  <c r="J38" i="29" s="1"/>
  <c r="L39" i="41"/>
  <c r="J40" i="29" a="1"/>
  <c r="J40" i="29" s="1"/>
  <c r="I40" i="29" a="1"/>
  <c r="I40" i="29" s="1"/>
  <c r="L26" i="38"/>
  <c r="I44" i="29" a="1"/>
  <c r="I44" i="29" s="1"/>
  <c r="J44" i="29" a="1"/>
  <c r="J44" i="29" s="1"/>
  <c r="I49" i="41" a="1"/>
  <c r="I49" i="41" s="1"/>
  <c r="J49" i="41" a="1"/>
  <c r="J49" i="41" s="1"/>
  <c r="I24" i="41" a="1"/>
  <c r="I24" i="41" s="1"/>
  <c r="L46" i="40"/>
  <c r="J38" i="38" a="1"/>
  <c r="J38" i="38" s="1"/>
  <c r="I38" i="38" a="1"/>
  <c r="I38" i="38" s="1"/>
  <c r="I30" i="32" a="1"/>
  <c r="I30" i="32" s="1"/>
  <c r="J30" i="32" a="1"/>
  <c r="J30" i="32" s="1"/>
  <c r="L48" i="41"/>
  <c r="I37" i="38" a="1"/>
  <c r="I37" i="38" s="1"/>
  <c r="J37" i="38" a="1"/>
  <c r="J37" i="38" s="1"/>
  <c r="J23" i="31" a="1"/>
  <c r="J23" i="31" s="1"/>
  <c r="I40" i="31" a="1"/>
  <c r="I40" i="31" s="1"/>
  <c r="J40" i="31" a="1"/>
  <c r="J40" i="31" s="1"/>
  <c r="L33" i="35"/>
  <c r="J23" i="40" a="1"/>
  <c r="J23" i="40" s="1"/>
  <c r="I23" i="40" a="1"/>
  <c r="I23" i="40" s="1"/>
  <c r="L45" i="37"/>
  <c r="I20" i="35" a="1"/>
  <c r="I20" i="35" s="1"/>
  <c r="J20" i="35" a="1"/>
  <c r="J20" i="35" s="1"/>
  <c r="J45" i="38" a="1"/>
  <c r="J45" i="38" s="1"/>
  <c r="I45" i="38" a="1"/>
  <c r="I45" i="38" s="1"/>
  <c r="J29" i="32" a="1"/>
  <c r="J29" i="32" s="1"/>
  <c r="I29" i="32" a="1"/>
  <c r="I29" i="32" s="1"/>
  <c r="I39" i="29" a="1"/>
  <c r="I39" i="29" s="1"/>
  <c r="J39" i="29" a="1"/>
  <c r="J39" i="29" s="1"/>
  <c r="J42" i="29" a="1"/>
  <c r="J42" i="29" s="1"/>
  <c r="I42" i="29" a="1"/>
  <c r="I42" i="29" s="1"/>
  <c r="L32" i="35"/>
  <c r="L42" i="35"/>
  <c r="J36" i="40" a="1"/>
  <c r="J36" i="40" s="1"/>
  <c r="I36" i="40" a="1"/>
  <c r="I36" i="40" s="1"/>
  <c r="I23" i="32" a="1"/>
  <c r="I23" i="32" s="1"/>
  <c r="J23" i="32" a="1"/>
  <c r="J23" i="32" s="1"/>
  <c r="J37" i="29" a="1"/>
  <c r="J37" i="29" s="1"/>
  <c r="L22" i="32"/>
  <c r="J23" i="41" a="1"/>
  <c r="J23" i="41" s="1"/>
  <c r="I23" i="41" a="1"/>
  <c r="I23" i="41" s="1"/>
  <c r="K19" i="37"/>
  <c r="H47" i="40"/>
  <c r="H19" i="40"/>
  <c r="H33" i="40"/>
  <c r="J35" i="31" a="1"/>
  <c r="J35" i="31" s="1"/>
  <c r="I35" i="31" a="1"/>
  <c r="I35" i="31" s="1"/>
  <c r="J44" i="31" a="1"/>
  <c r="J44" i="31" s="1"/>
  <c r="I44" i="31" a="1"/>
  <c r="I44" i="31" s="1"/>
  <c r="L20" i="32"/>
  <c r="L25" i="32"/>
  <c r="I38" i="41" a="1"/>
  <c r="I38" i="41" s="1"/>
  <c r="J38" i="41" a="1"/>
  <c r="J38" i="41" s="1"/>
  <c r="L38" i="37"/>
  <c r="L19" i="37"/>
  <c r="J23" i="29" a="1"/>
  <c r="J23" i="29" s="1"/>
  <c r="I23" i="29" a="1"/>
  <c r="I23" i="29" s="1"/>
  <c r="I45" i="29" a="1"/>
  <c r="I45" i="29" s="1"/>
  <c r="J45" i="29" a="1"/>
  <c r="J45" i="29" s="1"/>
  <c r="J34" i="32" a="1"/>
  <c r="J34" i="32" s="1"/>
  <c r="I34" i="32" a="1"/>
  <c r="I34" i="32" s="1"/>
  <c r="L28" i="41"/>
  <c r="L41" i="38"/>
  <c r="I43" i="29" a="1"/>
  <c r="I43" i="29" s="1"/>
  <c r="J43" i="29" a="1"/>
  <c r="J43" i="29" s="1"/>
  <c r="L19" i="38"/>
  <c r="I41" i="32" a="1"/>
  <c r="I41" i="32" s="1"/>
  <c r="L22" i="38"/>
  <c r="L43" i="40"/>
  <c r="I23" i="38" a="1"/>
  <c r="I23" i="38" s="1"/>
  <c r="J23" i="38" a="1"/>
  <c r="J23" i="38" s="1"/>
  <c r="J27" i="29" a="1"/>
  <c r="J27" i="29" s="1"/>
  <c r="I27" i="29" a="1"/>
  <c r="I27" i="29" s="1"/>
  <c r="J34" i="35" a="1"/>
  <c r="J34" i="35" s="1"/>
  <c r="I34" i="35" a="1"/>
  <c r="I34" i="35" s="1"/>
  <c r="J39" i="37" a="1"/>
  <c r="J39" i="37" s="1"/>
  <c r="I39" i="37" a="1"/>
  <c r="I39" i="37" s="1"/>
  <c r="H34" i="33"/>
  <c r="H48" i="33"/>
  <c r="H41" i="33"/>
  <c r="L46" i="37"/>
  <c r="J24" i="31" a="1"/>
  <c r="J24" i="31" s="1"/>
  <c r="J32" i="37" a="1"/>
  <c r="J32" i="37" s="1"/>
  <c r="I32" i="37" a="1"/>
  <c r="I32" i="37" s="1"/>
  <c r="I44" i="32" a="1"/>
  <c r="I44" i="32" s="1"/>
  <c r="J44" i="32" a="1"/>
  <c r="J44" i="32" s="1"/>
  <c r="L37" i="35"/>
  <c r="L23" i="32"/>
  <c r="I48" i="31" a="1"/>
  <c r="I48" i="31" s="1"/>
  <c r="J48" i="31" a="1"/>
  <c r="J48" i="31" s="1"/>
  <c r="L34" i="37"/>
  <c r="J25" i="31" a="1"/>
  <c r="J25" i="31" s="1"/>
  <c r="L22" i="37"/>
  <c r="L20" i="38"/>
  <c r="I28" i="33" a="1"/>
  <c r="I28" i="33" s="1"/>
  <c r="J28" i="33" a="1"/>
  <c r="J28" i="33" s="1"/>
  <c r="J28" i="31" a="1"/>
  <c r="J28" i="31" s="1"/>
  <c r="I28" i="31" a="1"/>
  <c r="I28" i="31" s="1"/>
  <c r="I26" i="37" a="1"/>
  <c r="I26" i="37" s="1"/>
  <c r="L25" i="38"/>
  <c r="H22" i="32"/>
  <c r="J40" i="35" a="1"/>
  <c r="J40" i="35" s="1"/>
  <c r="I40" i="35" a="1"/>
  <c r="I40" i="35" s="1"/>
  <c r="L34" i="33"/>
  <c r="L30" i="41"/>
  <c r="L27" i="40"/>
  <c r="J33" i="31" a="1"/>
  <c r="J33" i="31" s="1"/>
  <c r="I33" i="31" a="1"/>
  <c r="I33" i="31" s="1"/>
  <c r="J33" i="29" a="1"/>
  <c r="J33" i="29" s="1"/>
  <c r="I33" i="29" a="1"/>
  <c r="I33" i="29" s="1"/>
  <c r="J22" i="31" a="1"/>
  <c r="J22" i="31" s="1"/>
  <c r="L33" i="38"/>
  <c r="L37" i="32"/>
  <c r="L29" i="35"/>
  <c r="I41" i="35" a="1"/>
  <c r="I41" i="35" s="1"/>
  <c r="L28" i="35"/>
  <c r="L32" i="40"/>
  <c r="J39" i="32" a="1"/>
  <c r="J39" i="32" s="1"/>
  <c r="I30" i="29" a="1"/>
  <c r="I30" i="29" s="1"/>
  <c r="J30" i="29" a="1"/>
  <c r="J30" i="29" s="1"/>
  <c r="I31" i="41" a="1"/>
  <c r="I31" i="41" s="1"/>
  <c r="J31" i="41" a="1"/>
  <c r="J31" i="41" s="1"/>
  <c r="L38" i="32"/>
  <c r="J24" i="38" a="1"/>
  <c r="J24" i="38" s="1"/>
  <c r="I24" i="38" a="1"/>
  <c r="I24" i="38" s="1"/>
  <c r="L21" i="35"/>
  <c r="L42" i="37"/>
  <c r="J22" i="29" a="1"/>
  <c r="J22" i="29" s="1"/>
  <c r="I22" i="29" a="1"/>
  <c r="I22" i="29" s="1"/>
  <c r="L35" i="38"/>
  <c r="L38" i="36"/>
  <c r="J40" i="37" a="1"/>
  <c r="J40" i="37" s="1"/>
  <c r="I40" i="37" a="1"/>
  <c r="I40" i="37" s="1"/>
  <c r="I24" i="32" a="1"/>
  <c r="I24" i="32" s="1"/>
  <c r="J24" i="32" a="1"/>
  <c r="J24" i="32" s="1"/>
  <c r="I32" i="29" a="1"/>
  <c r="I32" i="29" s="1"/>
  <c r="J32" i="29" a="1"/>
  <c r="J32" i="29" s="1"/>
  <c r="I24" i="29" a="1"/>
  <c r="I24" i="29" s="1"/>
  <c r="J24" i="29" a="1"/>
  <c r="J24" i="29" s="1"/>
  <c r="L23" i="35"/>
  <c r="I45" i="31" a="1"/>
  <c r="I45" i="31" s="1"/>
  <c r="J45" i="31" a="1"/>
  <c r="J45" i="31" s="1"/>
  <c r="L23" i="38"/>
  <c r="I41" i="31" a="1"/>
  <c r="I41" i="31" s="1"/>
  <c r="J41" i="31" a="1"/>
  <c r="J41" i="31" s="1"/>
  <c r="L24" i="35"/>
  <c r="J33" i="37" a="1"/>
  <c r="J33" i="37" s="1"/>
  <c r="I33" i="37" a="1"/>
  <c r="I33" i="37" s="1"/>
  <c r="I26" i="35" a="1"/>
  <c r="I26" i="35" s="1"/>
  <c r="J26" i="35" a="1"/>
  <c r="J26" i="35" s="1"/>
  <c r="J26" i="29" a="1"/>
  <c r="J26" i="29" s="1"/>
  <c r="I26" i="29" a="1"/>
  <c r="I26" i="29" s="1"/>
  <c r="L23" i="37"/>
  <c r="L25" i="36"/>
  <c r="I48" i="32" a="1"/>
  <c r="I48" i="32" s="1"/>
  <c r="L32" i="37"/>
  <c r="L46" i="32"/>
  <c r="J19" i="35" a="1"/>
  <c r="J19" i="35" s="1"/>
  <c r="I19" i="35" a="1"/>
  <c r="I19" i="35" s="1"/>
  <c r="K19" i="35" s="1"/>
  <c r="I21" i="33" a="1"/>
  <c r="I21" i="33" s="1"/>
  <c r="J21" i="33" a="1"/>
  <c r="J21" i="33" s="1"/>
  <c r="J41" i="29" a="1"/>
  <c r="J41" i="29" s="1"/>
  <c r="I41" i="29" a="1"/>
  <c r="I41" i="29" s="1"/>
  <c r="I35" i="33" a="1"/>
  <c r="I35" i="33" s="1"/>
  <c r="J35" i="33" a="1"/>
  <c r="J35" i="33" s="1"/>
  <c r="L36" i="38"/>
  <c r="J46" i="37" a="1"/>
  <c r="J46" i="37" s="1"/>
  <c r="I31" i="38" a="1"/>
  <c r="I31" i="38" s="1"/>
  <c r="J31" i="38" a="1"/>
  <c r="J31" i="38" s="1"/>
  <c r="J42" i="33" a="1"/>
  <c r="J42" i="33" s="1"/>
  <c r="I42" i="33" a="1"/>
  <c r="I42" i="33" s="1"/>
  <c r="J46" i="29" a="1"/>
  <c r="J46" i="29" s="1"/>
  <c r="I46" i="29" a="1"/>
  <c r="I46" i="29" s="1"/>
  <c r="J34" i="29" a="1"/>
  <c r="J34" i="29" s="1"/>
  <c r="I34" i="29" a="1"/>
  <c r="I34" i="29" s="1"/>
  <c r="J21" i="29" a="1"/>
  <c r="J21" i="29" s="1"/>
  <c r="I21" i="29" a="1"/>
  <c r="I21" i="29" s="1"/>
  <c r="L42" i="41"/>
  <c r="J42" i="41" a="1"/>
  <c r="J42" i="41" s="1"/>
  <c r="I42" i="41" a="1"/>
  <c r="I42" i="41" s="1"/>
  <c r="I37" i="32" a="1"/>
  <c r="I37" i="32" s="1"/>
  <c r="J37" i="32" a="1"/>
  <c r="J37" i="32" s="1"/>
  <c r="L19" i="32"/>
  <c r="I19" i="32" a="1"/>
  <c r="I19" i="32" s="1"/>
  <c r="J19" i="32" a="1"/>
  <c r="J19" i="32" s="1"/>
  <c r="L44" i="41"/>
  <c r="I44" i="41" a="1"/>
  <c r="I44" i="41" s="1"/>
  <c r="J44" i="41" a="1"/>
  <c r="J44" i="41" s="1"/>
  <c r="L31" i="32"/>
  <c r="L21" i="37"/>
  <c r="L38" i="33"/>
  <c r="L40" i="35"/>
  <c r="L31" i="35"/>
  <c r="J28" i="32" a="1"/>
  <c r="J28" i="32" s="1"/>
  <c r="I28" i="32" a="1"/>
  <c r="I28" i="32" s="1"/>
  <c r="L35" i="41"/>
  <c r="I39" i="32" a="1"/>
  <c r="I39" i="32" s="1"/>
  <c r="J30" i="41" a="1"/>
  <c r="J30" i="41" s="1"/>
  <c r="I30" i="41" a="1"/>
  <c r="I30" i="41" s="1"/>
  <c r="I35" i="32" a="1"/>
  <c r="I35" i="32" s="1"/>
  <c r="J35" i="32" a="1"/>
  <c r="J35" i="32" s="1"/>
  <c r="L41" i="32"/>
  <c r="J34" i="31" a="1"/>
  <c r="J34" i="31" s="1"/>
  <c r="I34" i="31" a="1"/>
  <c r="I34" i="31" s="1"/>
  <c r="L33" i="41"/>
  <c r="L39" i="36"/>
  <c r="J25" i="37" a="1"/>
  <c r="J25" i="37" s="1"/>
  <c r="I25" i="37" a="1"/>
  <c r="I25" i="37" s="1"/>
  <c r="J38" i="31" a="1"/>
  <c r="J38" i="31" s="1"/>
  <c r="I38" i="31" a="1"/>
  <c r="I38" i="31" s="1"/>
  <c r="L40" i="38"/>
  <c r="J43" i="40" a="1"/>
  <c r="J43" i="40" s="1"/>
  <c r="I43" i="40" a="1"/>
  <c r="I43" i="40" s="1"/>
  <c r="L26" i="41"/>
  <c r="J37" i="31" a="1"/>
  <c r="J37" i="31" s="1"/>
  <c r="I37" i="31" a="1"/>
  <c r="I37" i="31" s="1"/>
  <c r="J37" i="40" a="1"/>
  <c r="J37" i="40" s="1"/>
  <c r="I37" i="40" a="1"/>
  <c r="I37" i="40" s="1"/>
  <c r="J25" i="32" a="1"/>
  <c r="J25" i="32" s="1"/>
  <c r="I25" i="32" a="1"/>
  <c r="I25" i="32" s="1"/>
  <c r="J28" i="29" a="1"/>
  <c r="J28" i="29" s="1"/>
  <c r="I28" i="29" a="1"/>
  <c r="I28" i="29" s="1"/>
  <c r="I46" i="32" a="1"/>
  <c r="I46" i="32" s="1"/>
  <c r="J46" i="32" a="1"/>
  <c r="J46" i="32" s="1"/>
  <c r="L21" i="38"/>
  <c r="L44" i="32"/>
  <c r="L43" i="41"/>
  <c r="J43" i="41" a="1"/>
  <c r="J43" i="41" s="1"/>
  <c r="I43" i="41" a="1"/>
  <c r="I43" i="41" s="1"/>
  <c r="I43" i="31" a="1"/>
  <c r="I43" i="31" s="1"/>
  <c r="J43" i="31" a="1"/>
  <c r="J43" i="31" s="1"/>
  <c r="I31" i="32" a="1"/>
  <c r="I31" i="32" s="1"/>
  <c r="J31" i="32" a="1"/>
  <c r="J31" i="32" s="1"/>
  <c r="J26" i="32" a="1"/>
  <c r="J26" i="32" s="1"/>
  <c r="L23" i="41"/>
  <c r="J46" i="31" a="1"/>
  <c r="J46" i="31" s="1"/>
  <c r="I46" i="31" a="1"/>
  <c r="I46" i="31" s="1"/>
  <c r="J39" i="31" a="1"/>
  <c r="J39" i="31" s="1"/>
  <c r="I32" i="31" a="1"/>
  <c r="I32" i="31" s="1"/>
  <c r="J32" i="31" a="1"/>
  <c r="J32" i="31" s="1"/>
  <c r="H20" i="33"/>
  <c r="L47" i="38"/>
  <c r="I46" i="37" a="1"/>
  <c r="I46" i="37" s="1"/>
  <c r="J40" i="40" a="1"/>
  <c r="J40" i="40" s="1"/>
  <c r="I40" i="40" a="1"/>
  <c r="I40" i="40" s="1"/>
  <c r="J25" i="29" a="1"/>
  <c r="J25" i="29" s="1"/>
  <c r="I25" i="29" a="1"/>
  <c r="I25" i="29" s="1"/>
  <c r="J41" i="35" a="1"/>
  <c r="J41" i="35" s="1"/>
  <c r="L25" i="35"/>
  <c r="J20" i="29" a="1"/>
  <c r="J20" i="29" s="1"/>
  <c r="I20" i="29" a="1"/>
  <c r="I20" i="29" s="1"/>
  <c r="I36" i="29" a="1"/>
  <c r="I36" i="29" s="1"/>
  <c r="J36" i="29" a="1"/>
  <c r="J36" i="29" s="1"/>
  <c r="J45" i="41" a="1"/>
  <c r="J45" i="41" s="1"/>
  <c r="I45" i="41" a="1"/>
  <c r="I45" i="41" s="1"/>
  <c r="J20" i="32" a="1"/>
  <c r="J20" i="32" s="1"/>
  <c r="L19" i="33"/>
  <c r="H27" i="33"/>
  <c r="L19" i="40"/>
  <c r="L35" i="35"/>
  <c r="J38" i="32" a="1"/>
  <c r="J38" i="32" s="1"/>
  <c r="I38" i="32" a="1"/>
  <c r="I38" i="32" s="1"/>
  <c r="L39" i="35"/>
  <c r="L47" i="32"/>
  <c r="L29" i="41"/>
  <c r="L30" i="36"/>
  <c r="L41" i="41"/>
  <c r="I47" i="32" a="1"/>
  <c r="I47" i="32" s="1"/>
  <c r="L37" i="37"/>
  <c r="H29" i="33"/>
  <c r="H36" i="33"/>
  <c r="J40" i="32" a="1"/>
  <c r="J40" i="32" s="1"/>
  <c r="I40" i="32" a="1"/>
  <c r="I40" i="32" s="1"/>
  <c r="L44" i="35"/>
  <c r="L46" i="41"/>
  <c r="L45" i="32"/>
  <c r="J48" i="32" a="1"/>
  <c r="J48" i="32" s="1"/>
  <c r="I29" i="29" a="1"/>
  <c r="I29" i="29" s="1"/>
  <c r="J29" i="29" a="1"/>
  <c r="J29" i="29" s="1"/>
  <c r="H37" i="33"/>
  <c r="H23" i="33"/>
  <c r="H30" i="33"/>
  <c r="I45" i="32" a="1"/>
  <c r="I45" i="32" s="1"/>
  <c r="J45" i="32" a="1"/>
  <c r="J45" i="32" s="1"/>
  <c r="I31" i="31" a="1"/>
  <c r="I31" i="31" s="1"/>
  <c r="J31" i="31" a="1"/>
  <c r="J31" i="31" s="1"/>
  <c r="J43" i="32" a="1"/>
  <c r="J43" i="32" s="1"/>
  <c r="L43" i="32"/>
  <c r="I43" i="32" a="1"/>
  <c r="I43" i="32" s="1"/>
  <c r="L29" i="38"/>
  <c r="I31" i="29" a="1"/>
  <c r="I31" i="29" s="1"/>
  <c r="J31" i="29" a="1"/>
  <c r="J31" i="29" s="1"/>
  <c r="L29" i="37"/>
  <c r="I30" i="38" a="1"/>
  <c r="I30" i="38" s="1"/>
  <c r="J30" i="38" a="1"/>
  <c r="J30" i="38" s="1"/>
  <c r="L20" i="37"/>
  <c r="L48" i="40"/>
  <c r="J35" i="29" a="1"/>
  <c r="J35" i="29" s="1"/>
  <c r="I35" i="29" a="1"/>
  <c r="I35" i="29" s="1"/>
  <c r="L27" i="38"/>
  <c r="I46" i="33" a="1"/>
  <c r="I46" i="33" s="1"/>
  <c r="J46" i="33" a="1"/>
  <c r="J46" i="33" s="1"/>
  <c r="L20" i="41"/>
  <c r="J26" i="31" a="1"/>
  <c r="J26" i="31" s="1"/>
  <c r="J26" i="37" a="1"/>
  <c r="J26" i="37" s="1"/>
  <c r="L30" i="38"/>
  <c r="I42" i="31" a="1"/>
  <c r="I42" i="31" s="1"/>
  <c r="J42" i="31" a="1"/>
  <c r="J42" i="31" s="1"/>
  <c r="J47" i="31" a="1"/>
  <c r="J47" i="31" s="1"/>
  <c r="I47" i="31" a="1"/>
  <c r="I47" i="31" s="1"/>
  <c r="I25" i="28" a="1"/>
  <c r="I25" i="28" s="1"/>
  <c r="J25" i="28" a="1"/>
  <c r="J25" i="28" s="1"/>
  <c r="L19" i="36"/>
  <c r="I20" i="32" a="1"/>
  <c r="I20" i="32" s="1"/>
  <c r="L20" i="33"/>
  <c r="J33" i="35" a="1"/>
  <c r="J33" i="35" s="1"/>
  <c r="I33" i="35" a="1"/>
  <c r="I33" i="35" s="1"/>
  <c r="L42" i="36"/>
  <c r="F32" i="28"/>
  <c r="J32" i="28" s="1" a="1"/>
  <c r="J32" i="28" s="1"/>
  <c r="L32" i="28"/>
  <c r="F22" i="28"/>
  <c r="L22" i="28"/>
  <c r="L48" i="28"/>
  <c r="L42" i="28"/>
  <c r="L46" i="28"/>
  <c r="L31" i="28"/>
  <c r="F34" i="28"/>
  <c r="J34" i="28" s="1" a="1"/>
  <c r="J34" i="28" s="1"/>
  <c r="L34" i="28"/>
  <c r="F25" i="28"/>
  <c r="L25" i="28"/>
  <c r="L39" i="28"/>
  <c r="F41" i="28"/>
  <c r="I41" i="28" s="1" a="1"/>
  <c r="I41" i="28" s="1"/>
  <c r="L41" i="28"/>
  <c r="L24" i="28"/>
  <c r="F24" i="28"/>
  <c r="I24" i="28" s="1" a="1"/>
  <c r="I24" i="28" s="1"/>
  <c r="L38" i="28"/>
  <c r="F30" i="28"/>
  <c r="I30" i="28" s="1" a="1"/>
  <c r="I30" i="28" s="1"/>
  <c r="L30" i="28"/>
  <c r="L45" i="28"/>
  <c r="F35" i="28"/>
  <c r="J35" i="28" s="1" a="1"/>
  <c r="J35" i="28" s="1"/>
  <c r="L35" i="28"/>
  <c r="L20" i="28"/>
  <c r="L28" i="28"/>
  <c r="F43" i="28"/>
  <c r="J43" i="28" s="1" a="1"/>
  <c r="J43" i="28" s="1"/>
  <c r="L43" i="28"/>
  <c r="L21" i="28"/>
  <c r="L27" i="28"/>
  <c r="L37" i="28"/>
  <c r="F49" i="28"/>
  <c r="I49" i="28" s="1" a="1"/>
  <c r="I49" i="28" s="1"/>
  <c r="F47" i="28"/>
  <c r="I47" i="28" s="1" a="1"/>
  <c r="I47" i="28" s="1"/>
  <c r="F33" i="28"/>
  <c r="J33" i="28" s="1" a="1"/>
  <c r="J33" i="28" s="1"/>
  <c r="L44" i="28"/>
  <c r="F19" i="28"/>
  <c r="I19" i="28" s="1" a="1"/>
  <c r="I19" i="28" s="1"/>
  <c r="L36" i="28"/>
  <c r="L29" i="28"/>
  <c r="L23" i="28"/>
  <c r="I49" i="30"/>
  <c r="J49" i="30"/>
  <c r="F43" i="30"/>
  <c r="H54" i="40"/>
  <c r="K19" i="30"/>
  <c r="F41" i="30"/>
  <c r="F26" i="30"/>
  <c r="F36" i="30"/>
  <c r="F37" i="30"/>
  <c r="F32" i="30"/>
  <c r="F25" i="30"/>
  <c r="F45" i="30"/>
  <c r="F33" i="30"/>
  <c r="F39" i="30"/>
  <c r="F31" i="30"/>
  <c r="L21" i="31"/>
  <c r="L34" i="31"/>
  <c r="F30" i="30"/>
  <c r="F21" i="30"/>
  <c r="L39" i="31"/>
  <c r="F39" i="31"/>
  <c r="L19" i="31"/>
  <c r="L47" i="31"/>
  <c r="F20" i="30"/>
  <c r="F38" i="30"/>
  <c r="F34" i="30"/>
  <c r="F28" i="30"/>
  <c r="L25" i="31"/>
  <c r="L29" i="31"/>
  <c r="L33" i="31"/>
  <c r="L43" i="31"/>
  <c r="L26" i="31"/>
  <c r="L46" i="31"/>
  <c r="F27" i="30"/>
  <c r="F47" i="30"/>
  <c r="F44" i="30"/>
  <c r="L27" i="31"/>
  <c r="F48" i="30"/>
  <c r="F46" i="30"/>
  <c r="L41" i="31"/>
  <c r="L28" i="31"/>
  <c r="L35" i="31"/>
  <c r="L22" i="31"/>
  <c r="F40" i="30"/>
  <c r="F42" i="30"/>
  <c r="F42" i="31"/>
  <c r="L40" i="31"/>
  <c r="L36" i="31"/>
  <c r="L32" i="31"/>
  <c r="F23" i="30"/>
  <c r="F29" i="30"/>
  <c r="F35" i="30"/>
  <c r="L22" i="29"/>
  <c r="L43" i="29"/>
  <c r="L28" i="29"/>
  <c r="L42" i="29"/>
  <c r="L25" i="29"/>
  <c r="L37" i="29"/>
  <c r="L23" i="29"/>
  <c r="L35" i="29"/>
  <c r="L29" i="29"/>
  <c r="L30" i="29"/>
  <c r="H50" i="33"/>
  <c r="L39" i="29"/>
  <c r="L21" i="29"/>
  <c r="L45" i="29"/>
  <c r="L24" i="29"/>
  <c r="L44" i="29"/>
  <c r="L36" i="29"/>
  <c r="L32" i="29"/>
  <c r="L31" i="29"/>
  <c r="L38" i="29"/>
  <c r="H52" i="40"/>
  <c r="H53" i="35"/>
  <c r="L20" i="30"/>
  <c r="L24" i="30"/>
  <c r="L21" i="30"/>
  <c r="L38" i="30"/>
  <c r="L25" i="30"/>
  <c r="L34" i="30"/>
  <c r="L47" i="30"/>
  <c r="L41" i="30"/>
  <c r="L28" i="30"/>
  <c r="L31" i="30"/>
  <c r="L35" i="30"/>
  <c r="L48" i="30"/>
  <c r="L40" i="30"/>
  <c r="L27" i="30"/>
  <c r="L33" i="30"/>
  <c r="L45" i="30"/>
  <c r="L42" i="30"/>
  <c r="L26" i="30"/>
  <c r="L39" i="30"/>
  <c r="L32" i="30"/>
  <c r="L46" i="30"/>
  <c r="A17" i="42"/>
  <c r="A21" i="42" s="1"/>
  <c r="A22" i="42" s="1"/>
  <c r="A23" i="42" s="1"/>
  <c r="A24" i="42" s="1"/>
  <c r="A25" i="42" s="1"/>
  <c r="A26" i="42" s="1"/>
  <c r="A27" i="42" s="1"/>
  <c r="A28" i="42" s="1"/>
  <c r="A29" i="42" s="1"/>
  <c r="A30" i="42" s="1"/>
  <c r="A31" i="42" s="1"/>
  <c r="A32" i="42" s="1"/>
  <c r="A20" i="42"/>
  <c r="H58" i="32"/>
  <c r="L49" i="32"/>
  <c r="K49" i="32"/>
  <c r="J49" i="28" l="1" a="1"/>
  <c r="J49" i="28" s="1"/>
  <c r="I43" i="28" a="1"/>
  <c r="I43" i="28" s="1"/>
  <c r="I26" i="40" a="1"/>
  <c r="I26" i="40" s="1"/>
  <c r="H42" i="40"/>
  <c r="J42" i="40" s="1" a="1"/>
  <c r="J42" i="40" s="1"/>
  <c r="J19" i="28" a="1"/>
  <c r="J19" i="28" s="1"/>
  <c r="J24" i="28" a="1"/>
  <c r="J24" i="28" s="1"/>
  <c r="J41" i="28" a="1"/>
  <c r="J41" i="28" s="1"/>
  <c r="I33" i="28" a="1"/>
  <c r="I33" i="28" s="1"/>
  <c r="I34" i="28" a="1"/>
  <c r="I34" i="28" s="1"/>
  <c r="I32" i="28" a="1"/>
  <c r="I32" i="28" s="1"/>
  <c r="I35" i="28" a="1"/>
  <c r="I35" i="28" s="1"/>
  <c r="J47" i="28" a="1"/>
  <c r="J47" i="28" s="1"/>
  <c r="J30" i="28" a="1"/>
  <c r="J30" i="28" s="1"/>
  <c r="K19" i="32"/>
  <c r="H21" i="40"/>
  <c r="I21" i="40" s="1" a="1"/>
  <c r="I21" i="40" s="1"/>
  <c r="I28" i="40" a="1"/>
  <c r="I28" i="40" s="1"/>
  <c r="H55" i="35"/>
  <c r="H54" i="38" s="1"/>
  <c r="K45" i="32"/>
  <c r="H35" i="40"/>
  <c r="J35" i="40" s="1" a="1"/>
  <c r="J35" i="40" s="1"/>
  <c r="H49" i="40"/>
  <c r="J49" i="40" s="1" a="1"/>
  <c r="J49" i="40" s="1"/>
  <c r="K46" i="32"/>
  <c r="K31" i="32"/>
  <c r="K20" i="32"/>
  <c r="L35" i="32"/>
  <c r="K47" i="32"/>
  <c r="J36" i="32" a="1"/>
  <c r="J36" i="32" s="1"/>
  <c r="K37" i="32" s="1"/>
  <c r="J23" i="33" a="1"/>
  <c r="J23" i="33" s="1"/>
  <c r="I23" i="33" a="1"/>
  <c r="I23" i="33" s="1"/>
  <c r="J22" i="32" a="1"/>
  <c r="J22" i="32" s="1"/>
  <c r="I22" i="32" a="1"/>
  <c r="I22" i="32" s="1"/>
  <c r="K24" i="32" s="1"/>
  <c r="H32" i="40"/>
  <c r="H46" i="40"/>
  <c r="H39" i="40"/>
  <c r="H25" i="40"/>
  <c r="H23" i="35"/>
  <c r="H44" i="35"/>
  <c r="H30" i="35"/>
  <c r="H37" i="35"/>
  <c r="K44" i="32"/>
  <c r="K29" i="32"/>
  <c r="K30" i="32"/>
  <c r="I48" i="33" a="1"/>
  <c r="I48" i="33" s="1"/>
  <c r="J48" i="33" a="1"/>
  <c r="J48" i="33" s="1"/>
  <c r="K35" i="32"/>
  <c r="J19" i="40" a="1"/>
  <c r="J19" i="40" s="1"/>
  <c r="I19" i="40" a="1"/>
  <c r="I19" i="40" s="1"/>
  <c r="I27" i="33" a="1"/>
  <c r="I27" i="33" s="1"/>
  <c r="J27" i="33" a="1"/>
  <c r="J27" i="33" s="1"/>
  <c r="L20" i="35"/>
  <c r="H47" i="33"/>
  <c r="H19" i="33"/>
  <c r="H33" i="33"/>
  <c r="H26" i="33"/>
  <c r="H40" i="33"/>
  <c r="K43" i="32"/>
  <c r="J29" i="33" a="1"/>
  <c r="J29" i="33" s="1"/>
  <c r="I29" i="33" a="1"/>
  <c r="I29" i="33" s="1"/>
  <c r="I33" i="40" a="1"/>
  <c r="I33" i="40" s="1"/>
  <c r="J33" i="40" a="1"/>
  <c r="J33" i="40" s="1"/>
  <c r="K48" i="32"/>
  <c r="J47" i="40" a="1"/>
  <c r="J47" i="40" s="1"/>
  <c r="I47" i="40" a="1"/>
  <c r="I47" i="40" s="1"/>
  <c r="J30" i="33" a="1"/>
  <c r="J30" i="33" s="1"/>
  <c r="I30" i="33" a="1"/>
  <c r="I30" i="33" s="1"/>
  <c r="H48" i="40"/>
  <c r="H41" i="40"/>
  <c r="H27" i="40"/>
  <c r="H34" i="40"/>
  <c r="H20" i="40"/>
  <c r="I37" i="33" a="1"/>
  <c r="I37" i="33" s="1"/>
  <c r="J37" i="33" a="1"/>
  <c r="J37" i="33" s="1"/>
  <c r="H39" i="35"/>
  <c r="J20" i="33" a="1"/>
  <c r="J20" i="33" s="1"/>
  <c r="I20" i="33" a="1"/>
  <c r="I20" i="33" s="1"/>
  <c r="K20" i="35"/>
  <c r="I42" i="40" a="1"/>
  <c r="I42" i="40" s="1"/>
  <c r="K33" i="32"/>
  <c r="K34" i="32"/>
  <c r="I41" i="33" a="1"/>
  <c r="I41" i="33" s="1"/>
  <c r="J41" i="33" a="1"/>
  <c r="J41" i="33" s="1"/>
  <c r="J34" i="33" a="1"/>
  <c r="J34" i="33" s="1"/>
  <c r="I34" i="33" a="1"/>
  <c r="I34" i="33" s="1"/>
  <c r="K21" i="32"/>
  <c r="L21" i="32"/>
  <c r="J36" i="33" a="1"/>
  <c r="J36" i="33" s="1"/>
  <c r="I36" i="33" a="1"/>
  <c r="I36" i="33" s="1"/>
  <c r="K32" i="32"/>
  <c r="J22" i="28" a="1"/>
  <c r="J22" i="28" s="1"/>
  <c r="I22" i="28" a="1"/>
  <c r="I22" i="28" s="1"/>
  <c r="F28" i="28"/>
  <c r="F27" i="28"/>
  <c r="F45" i="28"/>
  <c r="F20" i="28"/>
  <c r="F29" i="28"/>
  <c r="F44" i="28"/>
  <c r="F42" i="28"/>
  <c r="F40" i="28"/>
  <c r="F39" i="28"/>
  <c r="H54" i="35"/>
  <c r="F36" i="28"/>
  <c r="F48" i="28"/>
  <c r="F21" i="28"/>
  <c r="F31" i="28"/>
  <c r="F38" i="28"/>
  <c r="F37" i="28"/>
  <c r="F26" i="28"/>
  <c r="F23" i="28"/>
  <c r="F46" i="28"/>
  <c r="I25" i="30"/>
  <c r="J25" i="30"/>
  <c r="I27" i="30"/>
  <c r="J27" i="30"/>
  <c r="I26" i="30"/>
  <c r="J26" i="30"/>
  <c r="J29" i="30"/>
  <c r="I29" i="30"/>
  <c r="J28" i="30"/>
  <c r="I28" i="30"/>
  <c r="I23" i="30"/>
  <c r="J23" i="30"/>
  <c r="J20" i="30"/>
  <c r="I20" i="30"/>
  <c r="I21" i="30"/>
  <c r="J21" i="30"/>
  <c r="I30" i="30"/>
  <c r="J30" i="30"/>
  <c r="J31" i="30"/>
  <c r="I31" i="30"/>
  <c r="I32" i="30"/>
  <c r="J32" i="30"/>
  <c r="J33" i="30"/>
  <c r="I33" i="30"/>
  <c r="I34" i="30"/>
  <c r="J34" i="30"/>
  <c r="J35" i="30"/>
  <c r="I35" i="30"/>
  <c r="J36" i="30"/>
  <c r="I36" i="30"/>
  <c r="I37" i="30"/>
  <c r="J37" i="30"/>
  <c r="J38" i="30"/>
  <c r="I38" i="30"/>
  <c r="J39" i="30"/>
  <c r="I39" i="30"/>
  <c r="J40" i="30"/>
  <c r="I40" i="30"/>
  <c r="J41" i="30"/>
  <c r="I41" i="30"/>
  <c r="I42" i="30"/>
  <c r="J42" i="30"/>
  <c r="I43" i="30"/>
  <c r="J43" i="30"/>
  <c r="I44" i="30"/>
  <c r="J44" i="30"/>
  <c r="I45" i="30"/>
  <c r="J45" i="30"/>
  <c r="I46" i="30"/>
  <c r="J46" i="30"/>
  <c r="I47" i="30"/>
  <c r="J47" i="30"/>
  <c r="I48" i="30"/>
  <c r="J48" i="30"/>
  <c r="F36" i="31"/>
  <c r="I36" i="31" s="1" a="1"/>
  <c r="I36" i="31" s="1"/>
  <c r="H51" i="40"/>
  <c r="H52" i="35"/>
  <c r="F32" i="29"/>
  <c r="F37" i="31"/>
  <c r="F28" i="31"/>
  <c r="F31" i="29"/>
  <c r="F27" i="29"/>
  <c r="F42" i="29"/>
  <c r="F24" i="31"/>
  <c r="F24" i="29"/>
  <c r="F45" i="31"/>
  <c r="F38" i="31"/>
  <c r="F33" i="29"/>
  <c r="F33" i="31"/>
  <c r="F25" i="31"/>
  <c r="F25" i="29"/>
  <c r="F23" i="31"/>
  <c r="F26" i="29"/>
  <c r="F41" i="29"/>
  <c r="F22" i="29"/>
  <c r="F29" i="31"/>
  <c r="F20" i="29"/>
  <c r="F29" i="29"/>
  <c r="F40" i="29"/>
  <c r="F41" i="31"/>
  <c r="F31" i="31"/>
  <c r="F43" i="31"/>
  <c r="F19" i="31"/>
  <c r="I19" i="31" s="1" a="1"/>
  <c r="I19" i="31" s="1"/>
  <c r="F21" i="31"/>
  <c r="F27" i="31"/>
  <c r="F30" i="29"/>
  <c r="F35" i="29"/>
  <c r="F37" i="29"/>
  <c r="F32" i="31"/>
  <c r="F30" i="31"/>
  <c r="F19" i="29"/>
  <c r="F35" i="31"/>
  <c r="F46" i="31"/>
  <c r="F26" i="31"/>
  <c r="F40" i="31"/>
  <c r="F28" i="29"/>
  <c r="F48" i="31"/>
  <c r="F47" i="31"/>
  <c r="F44" i="31"/>
  <c r="F34" i="31"/>
  <c r="F38" i="29"/>
  <c r="F36" i="29"/>
  <c r="F21" i="29"/>
  <c r="F34" i="29"/>
  <c r="F43" i="29"/>
  <c r="F45" i="29"/>
  <c r="F23" i="29"/>
  <c r="F44" i="29"/>
  <c r="F39" i="29"/>
  <c r="F46" i="29"/>
  <c r="H52" i="38"/>
  <c r="H57" i="33"/>
  <c r="L49" i="30"/>
  <c r="K49" i="30"/>
  <c r="H25" i="35" l="1"/>
  <c r="H32" i="35"/>
  <c r="I29" i="31" a="1"/>
  <c r="I29" i="31" s="1"/>
  <c r="J29" i="31" a="1"/>
  <c r="J29" i="31" s="1"/>
  <c r="H46" i="35"/>
  <c r="I20" i="28" a="1"/>
  <c r="I20" i="28" s="1"/>
  <c r="J20" i="28" a="1"/>
  <c r="J20" i="28" s="1"/>
  <c r="J46" i="28" a="1"/>
  <c r="J46" i="28" s="1"/>
  <c r="I46" i="28" a="1"/>
  <c r="I46" i="28" s="1"/>
  <c r="J21" i="40" a="1"/>
  <c r="J21" i="40" s="1"/>
  <c r="I23" i="28" a="1"/>
  <c r="I23" i="28" s="1"/>
  <c r="J23" i="28" a="1"/>
  <c r="J23" i="28" s="1"/>
  <c r="I26" i="28" a="1"/>
  <c r="I26" i="28" s="1"/>
  <c r="J26" i="28" a="1"/>
  <c r="J26" i="28" s="1"/>
  <c r="I37" i="28" a="1"/>
  <c r="I37" i="28" s="1"/>
  <c r="J37" i="28" a="1"/>
  <c r="J37" i="28" s="1"/>
  <c r="I44" i="28" a="1"/>
  <c r="I44" i="28" s="1"/>
  <c r="J44" i="28" a="1"/>
  <c r="J44" i="28" s="1"/>
  <c r="I29" i="28" a="1"/>
  <c r="I29" i="28" s="1"/>
  <c r="J29" i="28" a="1"/>
  <c r="J29" i="28" s="1"/>
  <c r="I45" i="28" a="1"/>
  <c r="I45" i="28" s="1"/>
  <c r="J45" i="28" a="1"/>
  <c r="J45" i="28" s="1"/>
  <c r="I27" i="28" a="1"/>
  <c r="I27" i="28" s="1"/>
  <c r="J27" i="28" a="1"/>
  <c r="J27" i="28" s="1"/>
  <c r="J28" i="28" a="1"/>
  <c r="J28" i="28" s="1"/>
  <c r="I28" i="28" a="1"/>
  <c r="I28" i="28" s="1"/>
  <c r="J38" i="28" a="1"/>
  <c r="J38" i="28" s="1"/>
  <c r="I38" i="28" a="1"/>
  <c r="I38" i="28" s="1"/>
  <c r="J31" i="28" a="1"/>
  <c r="J31" i="28" s="1"/>
  <c r="I31" i="28" a="1"/>
  <c r="I31" i="28" s="1"/>
  <c r="I21" i="28" a="1"/>
  <c r="I21" i="28" s="1"/>
  <c r="J21" i="28" a="1"/>
  <c r="J21" i="28" s="1"/>
  <c r="J48" i="28" a="1"/>
  <c r="J48" i="28" s="1"/>
  <c r="I48" i="28" a="1"/>
  <c r="I48" i="28" s="1"/>
  <c r="I36" i="28" a="1"/>
  <c r="I36" i="28" s="1"/>
  <c r="J36" i="28" a="1"/>
  <c r="J36" i="28" s="1"/>
  <c r="L42" i="32"/>
  <c r="K25" i="32"/>
  <c r="I39" i="28" a="1"/>
  <c r="I39" i="28" s="1"/>
  <c r="J39" i="28" a="1"/>
  <c r="J39" i="28" s="1"/>
  <c r="K41" i="32"/>
  <c r="K39" i="32"/>
  <c r="I40" i="28" a="1"/>
  <c r="I40" i="28" s="1"/>
  <c r="J40" i="28" a="1"/>
  <c r="J40" i="28" s="1"/>
  <c r="J42" i="28" a="1"/>
  <c r="J42" i="28" s="1"/>
  <c r="I42" i="28" a="1"/>
  <c r="I42" i="28" s="1"/>
  <c r="I49" i="40" a="1"/>
  <c r="I49" i="40" s="1"/>
  <c r="K42" i="32"/>
  <c r="I35" i="40" a="1"/>
  <c r="I35" i="40" s="1"/>
  <c r="K40" i="32"/>
  <c r="K38" i="32"/>
  <c r="K36" i="32"/>
  <c r="J32" i="40" a="1"/>
  <c r="J32" i="40" s="1"/>
  <c r="I32" i="40" a="1"/>
  <c r="I32" i="40" s="1"/>
  <c r="K28" i="32"/>
  <c r="L28" i="32"/>
  <c r="K22" i="32"/>
  <c r="K27" i="32"/>
  <c r="K23" i="32"/>
  <c r="K26" i="32"/>
  <c r="H43" i="35"/>
  <c r="H36" i="35"/>
  <c r="H29" i="35"/>
  <c r="H22" i="35"/>
  <c r="I39" i="40" a="1"/>
  <c r="I39" i="40" s="1"/>
  <c r="J39" i="40" a="1"/>
  <c r="J39" i="40" s="1"/>
  <c r="I30" i="35" a="1"/>
  <c r="I30" i="35" s="1"/>
  <c r="J30" i="35" a="1"/>
  <c r="J30" i="35" s="1"/>
  <c r="I40" i="33" a="1"/>
  <c r="I40" i="33" s="1"/>
  <c r="J40" i="33" a="1"/>
  <c r="J40" i="33" s="1"/>
  <c r="J34" i="40" a="1"/>
  <c r="J34" i="40" s="1"/>
  <c r="I34" i="40" a="1"/>
  <c r="I34" i="40" s="1"/>
  <c r="I19" i="33" a="1"/>
  <c r="I19" i="33" s="1"/>
  <c r="J19" i="33" a="1"/>
  <c r="J19" i="33" s="1"/>
  <c r="H38" i="40"/>
  <c r="H24" i="40"/>
  <c r="H45" i="40"/>
  <c r="H31" i="40"/>
  <c r="J46" i="40" a="1"/>
  <c r="J46" i="40" s="1"/>
  <c r="I46" i="40" a="1"/>
  <c r="I46" i="40" s="1"/>
  <c r="J46" i="35" a="1"/>
  <c r="J46" i="35" s="1"/>
  <c r="I46" i="35" a="1"/>
  <c r="I46" i="35" s="1"/>
  <c r="J27" i="40" a="1"/>
  <c r="J27" i="40" s="1"/>
  <c r="I27" i="40" a="1"/>
  <c r="I27" i="40" s="1"/>
  <c r="I47" i="33" a="1"/>
  <c r="I47" i="33" s="1"/>
  <c r="J47" i="33" a="1"/>
  <c r="J47" i="33" s="1"/>
  <c r="K33" i="33"/>
  <c r="I25" i="35" a="1"/>
  <c r="I25" i="35" s="1"/>
  <c r="J25" i="35" a="1"/>
  <c r="J25" i="35" s="1"/>
  <c r="I32" i="35" a="1"/>
  <c r="I32" i="35" s="1"/>
  <c r="J32" i="35" a="1"/>
  <c r="J32" i="35" s="1"/>
  <c r="J39" i="35" a="1"/>
  <c r="J39" i="35" s="1"/>
  <c r="I39" i="35" a="1"/>
  <c r="I39" i="35" s="1"/>
  <c r="I44" i="35" a="1"/>
  <c r="I44" i="35" s="1"/>
  <c r="J44" i="35" a="1"/>
  <c r="J44" i="35" s="1"/>
  <c r="H48" i="38"/>
  <c r="H34" i="38"/>
  <c r="H20" i="38"/>
  <c r="H27" i="38"/>
  <c r="H41" i="38"/>
  <c r="I26" i="33" a="1"/>
  <c r="I26" i="33" s="1"/>
  <c r="J26" i="33" a="1"/>
  <c r="J26" i="33" s="1"/>
  <c r="H53" i="38"/>
  <c r="H54" i="36" s="1"/>
  <c r="H24" i="35"/>
  <c r="H38" i="35"/>
  <c r="H31" i="35"/>
  <c r="H45" i="35"/>
  <c r="J33" i="33" a="1"/>
  <c r="J33" i="33" s="1"/>
  <c r="I33" i="33" a="1"/>
  <c r="I33" i="33" s="1"/>
  <c r="K35" i="33" s="1"/>
  <c r="I41" i="40" a="1"/>
  <c r="I41" i="40" s="1"/>
  <c r="J41" i="40" a="1"/>
  <c r="J41" i="40" s="1"/>
  <c r="K19" i="40"/>
  <c r="I25" i="40" a="1"/>
  <c r="I25" i="40" s="1"/>
  <c r="J25" i="40" a="1"/>
  <c r="J25" i="40" s="1"/>
  <c r="J37" i="35" a="1"/>
  <c r="J37" i="35" s="1"/>
  <c r="I37" i="35" a="1"/>
  <c r="I37" i="35" s="1"/>
  <c r="J23" i="35" a="1"/>
  <c r="J23" i="35" s="1"/>
  <c r="I23" i="35" a="1"/>
  <c r="I23" i="35" s="1"/>
  <c r="H36" i="38"/>
  <c r="H43" i="38"/>
  <c r="H22" i="38"/>
  <c r="H29" i="38"/>
  <c r="J20" i="40" a="1"/>
  <c r="J20" i="40" s="1"/>
  <c r="I20" i="40" a="1"/>
  <c r="I20" i="40" s="1"/>
  <c r="I48" i="40" a="1"/>
  <c r="I48" i="40" s="1"/>
  <c r="J48" i="40" a="1"/>
  <c r="J48" i="40" s="1"/>
  <c r="H51" i="38"/>
  <c r="H51" i="35"/>
  <c r="K20" i="28"/>
  <c r="K19" i="28"/>
  <c r="L19" i="28"/>
  <c r="I26" i="31" a="1"/>
  <c r="I26" i="31" s="1"/>
  <c r="I24" i="31" a="1"/>
  <c r="I24" i="31" s="1"/>
  <c r="I23" i="31" a="1"/>
  <c r="I23" i="31" s="1"/>
  <c r="I25" i="31" a="1"/>
  <c r="I25" i="31" s="1"/>
  <c r="J30" i="31" a="1"/>
  <c r="J30" i="31" s="1"/>
  <c r="I21" i="31" a="1"/>
  <c r="I21" i="31" s="1"/>
  <c r="I27" i="31" a="1"/>
  <c r="I27" i="31" s="1"/>
  <c r="L43" i="30"/>
  <c r="L36" i="30"/>
  <c r="L29" i="30"/>
  <c r="K45" i="30"/>
  <c r="K38" i="30"/>
  <c r="K32" i="30"/>
  <c r="K42" i="30"/>
  <c r="K34" i="30"/>
  <c r="K30" i="30"/>
  <c r="K39" i="30"/>
  <c r="K43" i="30"/>
  <c r="K47" i="30"/>
  <c r="K41" i="30"/>
  <c r="K37" i="30"/>
  <c r="K20" i="30"/>
  <c r="K21" i="30"/>
  <c r="K46" i="30"/>
  <c r="K44" i="30"/>
  <c r="L44" i="30"/>
  <c r="K35" i="30"/>
  <c r="K33" i="30"/>
  <c r="L30" i="30"/>
  <c r="K29" i="30"/>
  <c r="K36" i="30"/>
  <c r="K48" i="30"/>
  <c r="K31" i="30"/>
  <c r="K40" i="30"/>
  <c r="L37" i="30"/>
  <c r="H53" i="36"/>
  <c r="H55" i="36"/>
  <c r="H58" i="40"/>
  <c r="L48" i="33"/>
  <c r="K48" i="33"/>
  <c r="K49" i="28"/>
  <c r="L49" i="28"/>
  <c r="K46" i="29"/>
  <c r="L46" i="29"/>
  <c r="K48" i="31"/>
  <c r="L48" i="31"/>
  <c r="K29" i="33" l="1"/>
  <c r="L47" i="28"/>
  <c r="K28" i="33"/>
  <c r="K41" i="33"/>
  <c r="K43" i="33"/>
  <c r="K47" i="33"/>
  <c r="K40" i="33"/>
  <c r="I29" i="38" a="1"/>
  <c r="I29" i="38" s="1"/>
  <c r="J29" i="38" a="1"/>
  <c r="J29" i="38" s="1"/>
  <c r="I24" i="35" a="1"/>
  <c r="I24" i="35" s="1"/>
  <c r="J24" i="35" a="1"/>
  <c r="J24" i="35" s="1"/>
  <c r="K31" i="33"/>
  <c r="L32" i="33"/>
  <c r="K32" i="33"/>
  <c r="K30" i="33"/>
  <c r="I41" i="38" a="1"/>
  <c r="I41" i="38" s="1"/>
  <c r="J41" i="38" a="1"/>
  <c r="J41" i="38" s="1"/>
  <c r="K26" i="33"/>
  <c r="L39" i="33"/>
  <c r="K39" i="33"/>
  <c r="K38" i="33"/>
  <c r="K37" i="33"/>
  <c r="I45" i="35" a="1"/>
  <c r="I45" i="35" s="1"/>
  <c r="J45" i="35" a="1"/>
  <c r="J45" i="35" s="1"/>
  <c r="J22" i="35" a="1"/>
  <c r="J22" i="35" s="1"/>
  <c r="I22" i="35" a="1"/>
  <c r="I22" i="35" s="1"/>
  <c r="H47" i="36"/>
  <c r="H40" i="36"/>
  <c r="H26" i="36"/>
  <c r="H19" i="36"/>
  <c r="H33" i="36"/>
  <c r="J22" i="38" a="1"/>
  <c r="J22" i="38" s="1"/>
  <c r="I22" i="38" a="1"/>
  <c r="I22" i="38" s="1"/>
  <c r="I36" i="38" a="1"/>
  <c r="I36" i="38" s="1"/>
  <c r="J36" i="38" a="1"/>
  <c r="J36" i="38" s="1"/>
  <c r="I20" i="38" a="1"/>
  <c r="I20" i="38" s="1"/>
  <c r="J20" i="38" a="1"/>
  <c r="J20" i="38" s="1"/>
  <c r="J24" i="40" a="1"/>
  <c r="J24" i="40" s="1"/>
  <c r="I24" i="40" a="1"/>
  <c r="I24" i="40" s="1"/>
  <c r="J38" i="40" a="1"/>
  <c r="J38" i="40" s="1"/>
  <c r="I38" i="40" a="1"/>
  <c r="I38" i="40" s="1"/>
  <c r="K23" i="40"/>
  <c r="K42" i="33"/>
  <c r="L23" i="40"/>
  <c r="I31" i="35" a="1"/>
  <c r="I31" i="35" s="1"/>
  <c r="J31" i="35" a="1"/>
  <c r="J31" i="35" s="1"/>
  <c r="J43" i="35" a="1"/>
  <c r="J43" i="35" s="1"/>
  <c r="I43" i="35" a="1"/>
  <c r="I43" i="35" s="1"/>
  <c r="I45" i="40" a="1"/>
  <c r="I45" i="40" s="1"/>
  <c r="J45" i="40" a="1"/>
  <c r="J45" i="40" s="1"/>
  <c r="L25" i="33"/>
  <c r="K21" i="33"/>
  <c r="K25" i="33"/>
  <c r="K23" i="33"/>
  <c r="K24" i="33"/>
  <c r="K22" i="33"/>
  <c r="K20" i="33"/>
  <c r="K19" i="33"/>
  <c r="K22" i="40"/>
  <c r="K21" i="40"/>
  <c r="K34" i="33"/>
  <c r="H27" i="36"/>
  <c r="H34" i="36"/>
  <c r="H48" i="36"/>
  <c r="H20" i="36"/>
  <c r="H41" i="36"/>
  <c r="J38" i="35" a="1"/>
  <c r="J38" i="35" s="1"/>
  <c r="I38" i="35" a="1"/>
  <c r="I38" i="35" s="1"/>
  <c r="I36" i="35" a="1"/>
  <c r="I36" i="35" s="1"/>
  <c r="J36" i="35" a="1"/>
  <c r="J36" i="35" s="1"/>
  <c r="H21" i="38"/>
  <c r="H28" i="38"/>
  <c r="H35" i="38"/>
  <c r="H42" i="38"/>
  <c r="I27" i="38" a="1"/>
  <c r="I27" i="38" s="1"/>
  <c r="J27" i="38" a="1"/>
  <c r="J27" i="38" s="1"/>
  <c r="J34" i="38" a="1"/>
  <c r="J34" i="38" s="1"/>
  <c r="I34" i="38" a="1"/>
  <c r="I34" i="38" s="1"/>
  <c r="K20" i="40"/>
  <c r="L46" i="33"/>
  <c r="K46" i="33"/>
  <c r="K45" i="33"/>
  <c r="K44" i="33"/>
  <c r="H52" i="36"/>
  <c r="H19" i="38"/>
  <c r="H40" i="38"/>
  <c r="H47" i="38"/>
  <c r="H26" i="38"/>
  <c r="H33" i="38"/>
  <c r="J29" i="35" a="1"/>
  <c r="J29" i="35" s="1"/>
  <c r="I29" i="35" a="1"/>
  <c r="I29" i="35" s="1"/>
  <c r="H46" i="36"/>
  <c r="H39" i="36"/>
  <c r="H25" i="36"/>
  <c r="H32" i="36"/>
  <c r="J43" i="38" a="1"/>
  <c r="J43" i="38" s="1"/>
  <c r="I43" i="38" a="1"/>
  <c r="I43" i="38" s="1"/>
  <c r="J31" i="40" a="1"/>
  <c r="J31" i="40" s="1"/>
  <c r="I31" i="40" a="1"/>
  <c r="I31" i="40" s="1"/>
  <c r="J48" i="38" a="1"/>
  <c r="J48" i="38" s="1"/>
  <c r="I48" i="38" a="1"/>
  <c r="I48" i="38" s="1"/>
  <c r="H50" i="38"/>
  <c r="H42" i="35"/>
  <c r="H35" i="35"/>
  <c r="H49" i="35"/>
  <c r="H21" i="35"/>
  <c r="H28" i="35"/>
  <c r="K36" i="33"/>
  <c r="K27" i="33"/>
  <c r="K44" i="28"/>
  <c r="K22" i="28"/>
  <c r="K36" i="28"/>
  <c r="K24" i="28"/>
  <c r="K21" i="28"/>
  <c r="K23" i="28"/>
  <c r="K40" i="28"/>
  <c r="K35" i="28"/>
  <c r="K32" i="28"/>
  <c r="K45" i="28"/>
  <c r="K38" i="28"/>
  <c r="K39" i="28"/>
  <c r="K46" i="28"/>
  <c r="L26" i="28"/>
  <c r="K26" i="28"/>
  <c r="K28" i="28"/>
  <c r="L40" i="28"/>
  <c r="K30" i="28"/>
  <c r="K33" i="28"/>
  <c r="K37" i="28"/>
  <c r="K43" i="28"/>
  <c r="L33" i="28"/>
  <c r="K47" i="28"/>
  <c r="K48" i="28"/>
  <c r="K29" i="28"/>
  <c r="K41" i="28"/>
  <c r="K27" i="28"/>
  <c r="K31" i="28"/>
  <c r="K42" i="28"/>
  <c r="K34" i="28"/>
  <c r="K25" i="28"/>
  <c r="L40" i="29"/>
  <c r="L30" i="31"/>
  <c r="L33" i="29"/>
  <c r="L26" i="29"/>
  <c r="L37" i="31"/>
  <c r="K19" i="29"/>
  <c r="L19" i="29"/>
  <c r="L44" i="31"/>
  <c r="K20" i="29"/>
  <c r="K19" i="31"/>
  <c r="L20" i="29"/>
  <c r="K30" i="29"/>
  <c r="K29" i="31"/>
  <c r="K33" i="29"/>
  <c r="L34" i="29"/>
  <c r="K32" i="29"/>
  <c r="K31" i="29"/>
  <c r="K47" i="31"/>
  <c r="K34" i="29"/>
  <c r="K40" i="31"/>
  <c r="K43" i="29"/>
  <c r="K22" i="29"/>
  <c r="K29" i="29"/>
  <c r="K41" i="29"/>
  <c r="K40" i="29"/>
  <c r="K36" i="31"/>
  <c r="K44" i="31"/>
  <c r="K39" i="29"/>
  <c r="K23" i="29"/>
  <c r="K38" i="29"/>
  <c r="K36" i="29"/>
  <c r="K33" i="31"/>
  <c r="K21" i="29"/>
  <c r="K37" i="29"/>
  <c r="K26" i="29"/>
  <c r="K35" i="29"/>
  <c r="K39" i="31"/>
  <c r="K35" i="31"/>
  <c r="K28" i="29"/>
  <c r="K44" i="29"/>
  <c r="K32" i="31"/>
  <c r="K31" i="31"/>
  <c r="L31" i="31"/>
  <c r="K41" i="31"/>
  <c r="K46" i="31"/>
  <c r="K45" i="31"/>
  <c r="L45" i="31"/>
  <c r="K27" i="29"/>
  <c r="K42" i="29"/>
  <c r="K43" i="31"/>
  <c r="K37" i="31"/>
  <c r="K24" i="29"/>
  <c r="K30" i="31"/>
  <c r="K45" i="29"/>
  <c r="L38" i="31"/>
  <c r="K38" i="31"/>
  <c r="K42" i="31"/>
  <c r="K34" i="31"/>
  <c r="K25" i="29"/>
  <c r="L41" i="29"/>
  <c r="L27" i="29"/>
  <c r="H53" i="37"/>
  <c r="H54" i="37"/>
  <c r="H52" i="37"/>
  <c r="H58" i="35"/>
  <c r="L49" i="40"/>
  <c r="K49" i="40"/>
  <c r="K37" i="40" l="1"/>
  <c r="K38" i="40"/>
  <c r="K45" i="40"/>
  <c r="K40" i="40"/>
  <c r="K39" i="40"/>
  <c r="J34" i="36" a="1"/>
  <c r="J34" i="36" s="1"/>
  <c r="I34" i="36" a="1"/>
  <c r="I34" i="36" s="1"/>
  <c r="L30" i="40"/>
  <c r="K30" i="40"/>
  <c r="K29" i="40"/>
  <c r="K27" i="40"/>
  <c r="K28" i="40"/>
  <c r="K36" i="40"/>
  <c r="L37" i="40"/>
  <c r="K35" i="40"/>
  <c r="K34" i="40"/>
  <c r="K24" i="40"/>
  <c r="K31" i="40"/>
  <c r="H38" i="37"/>
  <c r="H31" i="37"/>
  <c r="H24" i="37"/>
  <c r="H45" i="37"/>
  <c r="H38" i="36"/>
  <c r="H45" i="36"/>
  <c r="H24" i="36"/>
  <c r="H31" i="36"/>
  <c r="J33" i="38" a="1"/>
  <c r="J33" i="38" s="1"/>
  <c r="I33" i="38" a="1"/>
  <c r="I33" i="38" s="1"/>
  <c r="J40" i="36" a="1"/>
  <c r="J40" i="36" s="1"/>
  <c r="I40" i="36" a="1"/>
  <c r="I40" i="36" s="1"/>
  <c r="K33" i="40"/>
  <c r="J27" i="36" a="1"/>
  <c r="J27" i="36" s="1"/>
  <c r="I27" i="36" a="1"/>
  <c r="I27" i="36" s="1"/>
  <c r="J35" i="35" a="1"/>
  <c r="J35" i="35" s="1"/>
  <c r="I35" i="35" a="1"/>
  <c r="I35" i="35" s="1"/>
  <c r="K44" i="40"/>
  <c r="L44" i="40"/>
  <c r="K43" i="40"/>
  <c r="K42" i="40"/>
  <c r="K41" i="40"/>
  <c r="J28" i="38" a="1"/>
  <c r="J28" i="38" s="1"/>
  <c r="I28" i="38" a="1"/>
  <c r="I28" i="38" s="1"/>
  <c r="K48" i="40"/>
  <c r="I26" i="38" a="1"/>
  <c r="I26" i="38" s="1"/>
  <c r="J26" i="38" a="1"/>
  <c r="J26" i="38" s="1"/>
  <c r="I47" i="36" a="1"/>
  <c r="I47" i="36" s="1"/>
  <c r="J47" i="36" a="1"/>
  <c r="J47" i="36" s="1"/>
  <c r="K46" i="40"/>
  <c r="J19" i="38" a="1"/>
  <c r="J19" i="38" s="1"/>
  <c r="I19" i="38" a="1"/>
  <c r="I19" i="38" s="1"/>
  <c r="I28" i="35" a="1"/>
  <c r="I28" i="35" s="1"/>
  <c r="J28" i="35" a="1"/>
  <c r="J28" i="35" s="1"/>
  <c r="H44" i="37"/>
  <c r="H23" i="37"/>
  <c r="H37" i="37"/>
  <c r="H30" i="37"/>
  <c r="H46" i="38"/>
  <c r="H32" i="38"/>
  <c r="H39" i="38"/>
  <c r="H25" i="38"/>
  <c r="I32" i="36" a="1"/>
  <c r="I32" i="36" s="1"/>
  <c r="J32" i="36" a="1"/>
  <c r="J32" i="36" s="1"/>
  <c r="I42" i="38" a="1"/>
  <c r="I42" i="38" s="1"/>
  <c r="J42" i="38" a="1"/>
  <c r="J42" i="38" s="1"/>
  <c r="J35" i="38" a="1"/>
  <c r="J35" i="38" s="1"/>
  <c r="I35" i="38" a="1"/>
  <c r="I35" i="38" s="1"/>
  <c r="J33" i="36" a="1"/>
  <c r="J33" i="36" s="1"/>
  <c r="I33" i="36" a="1"/>
  <c r="I33" i="36" s="1"/>
  <c r="J21" i="38" a="1"/>
  <c r="J21" i="38" s="1"/>
  <c r="I21" i="38" a="1"/>
  <c r="I21" i="38" s="1"/>
  <c r="I26" i="36" a="1"/>
  <c r="I26" i="36" s="1"/>
  <c r="J26" i="36" a="1"/>
  <c r="J26" i="36" s="1"/>
  <c r="H51" i="36"/>
  <c r="H50" i="37" s="1"/>
  <c r="J47" i="38" a="1"/>
  <c r="J47" i="38" s="1"/>
  <c r="I47" i="38" a="1"/>
  <c r="I47" i="38" s="1"/>
  <c r="K26" i="40"/>
  <c r="K47" i="40"/>
  <c r="H29" i="37"/>
  <c r="H22" i="37"/>
  <c r="H36" i="37"/>
  <c r="H43" i="37"/>
  <c r="I20" i="36" a="1"/>
  <c r="I20" i="36" s="1"/>
  <c r="J20" i="36" a="1"/>
  <c r="J20" i="36" s="1"/>
  <c r="J48" i="36" a="1"/>
  <c r="J48" i="36" s="1"/>
  <c r="I48" i="36" a="1"/>
  <c r="I48" i="36" s="1"/>
  <c r="J21" i="35" a="1"/>
  <c r="J21" i="35" s="1"/>
  <c r="I21" i="35" a="1"/>
  <c r="I21" i="35" s="1"/>
  <c r="I49" i="35" a="1"/>
  <c r="I49" i="35" s="1"/>
  <c r="J49" i="35" a="1"/>
  <c r="J49" i="35" s="1"/>
  <c r="I42" i="35" a="1"/>
  <c r="I42" i="35" s="1"/>
  <c r="J42" i="35" a="1"/>
  <c r="J42" i="35" s="1"/>
  <c r="J25" i="36" a="1"/>
  <c r="J25" i="36" s="1"/>
  <c r="I25" i="36" a="1"/>
  <c r="I25" i="36" s="1"/>
  <c r="J39" i="36" a="1"/>
  <c r="J39" i="36" s="1"/>
  <c r="I39" i="36" a="1"/>
  <c r="I39" i="36" s="1"/>
  <c r="I46" i="36" a="1"/>
  <c r="I46" i="36" s="1"/>
  <c r="J46" i="36" a="1"/>
  <c r="J46" i="36" s="1"/>
  <c r="J19" i="36" a="1"/>
  <c r="J19" i="36" s="1"/>
  <c r="I19" i="36" a="1"/>
  <c r="I19" i="36" s="1"/>
  <c r="K32" i="40"/>
  <c r="H51" i="37"/>
  <c r="I40" i="38" a="1"/>
  <c r="I40" i="38" s="1"/>
  <c r="J40" i="38" a="1"/>
  <c r="J40" i="38" s="1"/>
  <c r="I41" i="36" a="1"/>
  <c r="I41" i="36" s="1"/>
  <c r="J41" i="36" a="1"/>
  <c r="J41" i="36" s="1"/>
  <c r="K25" i="40"/>
  <c r="L51" i="32"/>
  <c r="K51" i="32"/>
  <c r="K51" i="28"/>
  <c r="L51" i="28"/>
  <c r="L48" i="29"/>
  <c r="K48" i="29"/>
  <c r="H54" i="41"/>
  <c r="H55" i="41"/>
  <c r="H53" i="41"/>
  <c r="H57" i="38"/>
  <c r="L50" i="33"/>
  <c r="K50" i="33"/>
  <c r="L49" i="35"/>
  <c r="K49" i="35"/>
  <c r="K42" i="35" l="1"/>
  <c r="K28" i="35"/>
  <c r="H27" i="37"/>
  <c r="H34" i="37"/>
  <c r="H20" i="37"/>
  <c r="H48" i="37"/>
  <c r="H41" i="37"/>
  <c r="J24" i="37" a="1"/>
  <c r="J24" i="37" s="1"/>
  <c r="I24" i="37" a="1"/>
  <c r="I24" i="37" s="1"/>
  <c r="I25" i="38" a="1"/>
  <c r="I25" i="38" s="1"/>
  <c r="J25" i="38" a="1"/>
  <c r="J25" i="38" s="1"/>
  <c r="I39" i="38" a="1"/>
  <c r="I39" i="38" s="1"/>
  <c r="J39" i="38" a="1"/>
  <c r="J39" i="38" s="1"/>
  <c r="J29" i="37" a="1"/>
  <c r="J29" i="37" s="1"/>
  <c r="I29" i="37" a="1"/>
  <c r="I29" i="37" s="1"/>
  <c r="I46" i="38" a="1"/>
  <c r="I46" i="38" s="1"/>
  <c r="J46" i="38" a="1"/>
  <c r="J46" i="38" s="1"/>
  <c r="H35" i="37"/>
  <c r="H21" i="37"/>
  <c r="H28" i="37"/>
  <c r="H42" i="37"/>
  <c r="I30" i="37" a="1"/>
  <c r="I30" i="37" s="1"/>
  <c r="J30" i="37" a="1"/>
  <c r="J30" i="37" s="1"/>
  <c r="K41" i="35"/>
  <c r="K40" i="35"/>
  <c r="K39" i="35"/>
  <c r="K36" i="35"/>
  <c r="K38" i="35"/>
  <c r="J37" i="37" a="1"/>
  <c r="J37" i="37" s="1"/>
  <c r="I37" i="37" a="1"/>
  <c r="I37" i="37" s="1"/>
  <c r="L22" i="36"/>
  <c r="K20" i="36"/>
  <c r="K22" i="36"/>
  <c r="K21" i="36"/>
  <c r="K19" i="36"/>
  <c r="I23" i="37" a="1"/>
  <c r="I23" i="37" s="1"/>
  <c r="J23" i="37" a="1"/>
  <c r="J23" i="37" s="1"/>
  <c r="J45" i="36" a="1"/>
  <c r="J45" i="36" s="1"/>
  <c r="I45" i="36" a="1"/>
  <c r="I45" i="36" s="1"/>
  <c r="J38" i="36" a="1"/>
  <c r="J38" i="36" s="1"/>
  <c r="I38" i="36" a="1"/>
  <c r="I38" i="36" s="1"/>
  <c r="J32" i="38" a="1"/>
  <c r="J32" i="38" s="1"/>
  <c r="I32" i="38" a="1"/>
  <c r="I32" i="38" s="1"/>
  <c r="K34" i="38" s="1"/>
  <c r="J44" i="37" a="1"/>
  <c r="J44" i="37" s="1"/>
  <c r="I44" i="37" a="1"/>
  <c r="I44" i="37" s="1"/>
  <c r="L41" i="35"/>
  <c r="H52" i="41"/>
  <c r="H27" i="41"/>
  <c r="H48" i="41"/>
  <c r="H41" i="41"/>
  <c r="H34" i="41"/>
  <c r="H20" i="41"/>
  <c r="H29" i="41"/>
  <c r="H22" i="41"/>
  <c r="H36" i="41"/>
  <c r="K37" i="35"/>
  <c r="J24" i="36" a="1"/>
  <c r="J24" i="36" s="1"/>
  <c r="I24" i="36" a="1"/>
  <c r="I24" i="36" s="1"/>
  <c r="I31" i="37" a="1"/>
  <c r="I31" i="37" s="1"/>
  <c r="J31" i="37" a="1"/>
  <c r="J31" i="37" s="1"/>
  <c r="J22" i="37" a="1"/>
  <c r="J22" i="37" s="1"/>
  <c r="I22" i="37" a="1"/>
  <c r="I22" i="37" s="1"/>
  <c r="L34" i="35"/>
  <c r="K33" i="35"/>
  <c r="K34" i="35"/>
  <c r="K32" i="35"/>
  <c r="K29" i="35"/>
  <c r="K31" i="35"/>
  <c r="K23" i="38"/>
  <c r="L24" i="38"/>
  <c r="K24" i="38"/>
  <c r="K21" i="38"/>
  <c r="K22" i="38"/>
  <c r="K20" i="38"/>
  <c r="K19" i="38"/>
  <c r="K48" i="35"/>
  <c r="L48" i="35"/>
  <c r="K46" i="35"/>
  <c r="K47" i="35"/>
  <c r="K43" i="35"/>
  <c r="K45" i="35"/>
  <c r="H28" i="41"/>
  <c r="H35" i="41"/>
  <c r="H21" i="41"/>
  <c r="K35" i="35"/>
  <c r="K44" i="35"/>
  <c r="J36" i="37" a="1"/>
  <c r="J36" i="37" s="1"/>
  <c r="I36" i="37" a="1"/>
  <c r="I36" i="37" s="1"/>
  <c r="K30" i="35"/>
  <c r="J45" i="37" a="1"/>
  <c r="J45" i="37" s="1"/>
  <c r="I45" i="37" a="1"/>
  <c r="I45" i="37" s="1"/>
  <c r="I43" i="37" a="1"/>
  <c r="I43" i="37" s="1"/>
  <c r="J43" i="37" a="1"/>
  <c r="J43" i="37" s="1"/>
  <c r="J38" i="37" a="1"/>
  <c r="J38" i="37" s="1"/>
  <c r="I38" i="37" a="1"/>
  <c r="I38" i="37" s="1"/>
  <c r="H23" i="36"/>
  <c r="H44" i="36"/>
  <c r="H37" i="36"/>
  <c r="H30" i="36"/>
  <c r="K27" i="35"/>
  <c r="L27" i="35"/>
  <c r="K21" i="35"/>
  <c r="K22" i="35"/>
  <c r="K24" i="35"/>
  <c r="K26" i="35"/>
  <c r="K25" i="35"/>
  <c r="K23" i="35"/>
  <c r="I31" i="36" a="1"/>
  <c r="I31" i="36" s="1"/>
  <c r="J31" i="36" a="1"/>
  <c r="J31" i="36" s="1"/>
  <c r="H51" i="41"/>
  <c r="K51" i="40"/>
  <c r="L51" i="40"/>
  <c r="H58" i="36"/>
  <c r="L48" i="38"/>
  <c r="K48" i="38"/>
  <c r="K44" i="38" l="1"/>
  <c r="K25" i="38"/>
  <c r="K33" i="38"/>
  <c r="K32" i="38"/>
  <c r="K47" i="38"/>
  <c r="I30" i="36" a="1"/>
  <c r="I30" i="36" s="1"/>
  <c r="J30" i="36" a="1"/>
  <c r="J30" i="36" s="1"/>
  <c r="J28" i="37" a="1"/>
  <c r="J28" i="37" s="1"/>
  <c r="I28" i="37" a="1"/>
  <c r="I28" i="37" s="1"/>
  <c r="J23" i="36" a="1"/>
  <c r="J23" i="36" s="1"/>
  <c r="I23" i="36" a="1"/>
  <c r="I23" i="36" s="1"/>
  <c r="I20" i="41" a="1"/>
  <c r="I20" i="41" s="1"/>
  <c r="J20" i="41" a="1"/>
  <c r="J20" i="41" s="1"/>
  <c r="L45" i="38"/>
  <c r="K45" i="38"/>
  <c r="K43" i="38"/>
  <c r="K40" i="38"/>
  <c r="K42" i="38"/>
  <c r="I37" i="36" a="1"/>
  <c r="I37" i="36" s="1"/>
  <c r="J37" i="36" a="1"/>
  <c r="J37" i="36" s="1"/>
  <c r="I44" i="36" a="1"/>
  <c r="I44" i="36" s="1"/>
  <c r="J44" i="36" a="1"/>
  <c r="J44" i="36" s="1"/>
  <c r="J36" i="41" a="1"/>
  <c r="J36" i="41" s="1"/>
  <c r="I36" i="41" a="1"/>
  <c r="I36" i="41" s="1"/>
  <c r="H46" i="41"/>
  <c r="H39" i="41"/>
  <c r="H25" i="41"/>
  <c r="H32" i="41"/>
  <c r="J48" i="37" a="1"/>
  <c r="J48" i="37" s="1"/>
  <c r="I48" i="37" a="1"/>
  <c r="I48" i="37" s="1"/>
  <c r="J20" i="37" a="1"/>
  <c r="J20" i="37" s="1"/>
  <c r="I20" i="37" a="1"/>
  <c r="I20" i="37" s="1"/>
  <c r="I42" i="37" a="1"/>
  <c r="I42" i="37" s="1"/>
  <c r="J42" i="37" a="1"/>
  <c r="J42" i="37" s="1"/>
  <c r="I21" i="37" a="1"/>
  <c r="I21" i="37" s="1"/>
  <c r="J21" i="37" a="1"/>
  <c r="J21" i="37" s="1"/>
  <c r="J22" i="41" a="1"/>
  <c r="J22" i="41" s="1"/>
  <c r="I22" i="41" a="1"/>
  <c r="I22" i="41" s="1"/>
  <c r="I29" i="41" a="1"/>
  <c r="I29" i="41" s="1"/>
  <c r="J29" i="41" a="1"/>
  <c r="J29" i="41" s="1"/>
  <c r="J34" i="41" a="1"/>
  <c r="J34" i="41" s="1"/>
  <c r="I34" i="41" a="1"/>
  <c r="I34" i="41" s="1"/>
  <c r="K31" i="38"/>
  <c r="K30" i="38"/>
  <c r="L31" i="38"/>
  <c r="K29" i="38"/>
  <c r="K26" i="38"/>
  <c r="K28" i="38"/>
  <c r="K39" i="38"/>
  <c r="K41" i="38"/>
  <c r="K27" i="38"/>
  <c r="J21" i="41" a="1"/>
  <c r="J21" i="41" s="1"/>
  <c r="I21" i="41" a="1"/>
  <c r="I21" i="41" s="1"/>
  <c r="K38" i="38"/>
  <c r="L38" i="38"/>
  <c r="K36" i="38"/>
  <c r="K37" i="38"/>
  <c r="K35" i="38"/>
  <c r="I34" i="37" a="1"/>
  <c r="I34" i="37" s="1"/>
  <c r="J34" i="37" a="1"/>
  <c r="J34" i="37" s="1"/>
  <c r="I28" i="41" a="1"/>
  <c r="I28" i="41" s="1"/>
  <c r="J28" i="41" a="1"/>
  <c r="J28" i="41" s="1"/>
  <c r="J35" i="37" a="1"/>
  <c r="J35" i="37" s="1"/>
  <c r="I35" i="37" a="1"/>
  <c r="I35" i="37" s="1"/>
  <c r="I41" i="41" a="1"/>
  <c r="I41" i="41" s="1"/>
  <c r="J41" i="41" a="1"/>
  <c r="J41" i="41" s="1"/>
  <c r="I48" i="41" a="1"/>
  <c r="I48" i="41" s="1"/>
  <c r="J48" i="41" a="1"/>
  <c r="J48" i="41" s="1"/>
  <c r="J27" i="41" a="1"/>
  <c r="J27" i="41" s="1"/>
  <c r="I27" i="41" a="1"/>
  <c r="I27" i="41" s="1"/>
  <c r="H47" i="41"/>
  <c r="H33" i="41"/>
  <c r="H40" i="41"/>
  <c r="H26" i="41"/>
  <c r="H19" i="41"/>
  <c r="K46" i="38"/>
  <c r="J41" i="37" a="1"/>
  <c r="J41" i="37" s="1"/>
  <c r="I41" i="37" a="1"/>
  <c r="I41" i="37" s="1"/>
  <c r="J35" i="41" a="1"/>
  <c r="J35" i="41" s="1"/>
  <c r="I35" i="41" a="1"/>
  <c r="I35" i="41" s="1"/>
  <c r="I27" i="37" a="1"/>
  <c r="I27" i="37" s="1"/>
  <c r="J27" i="37" a="1"/>
  <c r="J27" i="37" s="1"/>
  <c r="H57" i="37"/>
  <c r="K51" i="35"/>
  <c r="L51" i="35"/>
  <c r="L48" i="37"/>
  <c r="K48" i="37"/>
  <c r="L49" i="36"/>
  <c r="K49" i="36"/>
  <c r="K44" i="37" l="1"/>
  <c r="K30" i="36"/>
  <c r="K48" i="36"/>
  <c r="K46" i="36"/>
  <c r="K47" i="36"/>
  <c r="K45" i="36"/>
  <c r="K41" i="36"/>
  <c r="K42" i="36"/>
  <c r="K43" i="36"/>
  <c r="L43" i="36"/>
  <c r="K40" i="36"/>
  <c r="K39" i="36"/>
  <c r="K38" i="36"/>
  <c r="L33" i="37"/>
  <c r="K33" i="37"/>
  <c r="K32" i="37"/>
  <c r="K31" i="37"/>
  <c r="L40" i="37"/>
  <c r="K38" i="37"/>
  <c r="K27" i="37"/>
  <c r="K44" i="36"/>
  <c r="K26" i="41"/>
  <c r="K29" i="36"/>
  <c r="L29" i="36"/>
  <c r="K27" i="36"/>
  <c r="K28" i="36"/>
  <c r="K23" i="36"/>
  <c r="K26" i="36"/>
  <c r="K25" i="36"/>
  <c r="K24" i="36"/>
  <c r="J25" i="41" a="1"/>
  <c r="J25" i="41" s="1"/>
  <c r="I25" i="41" a="1"/>
  <c r="I25" i="41" s="1"/>
  <c r="K28" i="41" s="1"/>
  <c r="K37" i="37"/>
  <c r="L47" i="37"/>
  <c r="K47" i="37"/>
  <c r="K45" i="37"/>
  <c r="K46" i="37"/>
  <c r="I19" i="41" a="1"/>
  <c r="I19" i="41" s="1"/>
  <c r="J19" i="41" a="1"/>
  <c r="J19" i="41" s="1"/>
  <c r="K19" i="41" s="1"/>
  <c r="K28" i="37"/>
  <c r="I40" i="41" a="1"/>
  <c r="I40" i="41" s="1"/>
  <c r="J40" i="41" a="1"/>
  <c r="J40" i="41" s="1"/>
  <c r="K43" i="37"/>
  <c r="K34" i="37"/>
  <c r="J39" i="41" a="1"/>
  <c r="J39" i="41" s="1"/>
  <c r="I39" i="41" a="1"/>
  <c r="I39" i="41" s="1"/>
  <c r="K36" i="37"/>
  <c r="K42" i="37"/>
  <c r="K35" i="37"/>
  <c r="K40" i="37"/>
  <c r="K29" i="37"/>
  <c r="J26" i="41" a="1"/>
  <c r="J26" i="41" s="1"/>
  <c r="I26" i="41" a="1"/>
  <c r="I26" i="41" s="1"/>
  <c r="J33" i="41" a="1"/>
  <c r="J33" i="41" s="1"/>
  <c r="I33" i="41" a="1"/>
  <c r="I33" i="41" s="1"/>
  <c r="K30" i="37"/>
  <c r="I32" i="41" a="1"/>
  <c r="I32" i="41" s="1"/>
  <c r="J32" i="41" a="1"/>
  <c r="J32" i="41" s="1"/>
  <c r="I46" i="41" a="1"/>
  <c r="I46" i="41" s="1"/>
  <c r="J46" i="41" a="1"/>
  <c r="J46" i="41" s="1"/>
  <c r="K39" i="37"/>
  <c r="K41" i="37"/>
  <c r="K24" i="37"/>
  <c r="L26" i="37"/>
  <c r="K23" i="37"/>
  <c r="K22" i="37"/>
  <c r="K25" i="37"/>
  <c r="K21" i="37"/>
  <c r="K26" i="37"/>
  <c r="K20" i="37"/>
  <c r="J47" i="41" a="1"/>
  <c r="J47" i="41" s="1"/>
  <c r="I47" i="41" a="1"/>
  <c r="I47" i="41" s="1"/>
  <c r="K37" i="36"/>
  <c r="L36" i="36"/>
  <c r="K36" i="36"/>
  <c r="K35" i="36"/>
  <c r="K34" i="36"/>
  <c r="K32" i="36"/>
  <c r="K31" i="36"/>
  <c r="K33" i="36"/>
  <c r="L50" i="38"/>
  <c r="K50" i="38"/>
  <c r="H58" i="41"/>
  <c r="L49" i="41"/>
  <c r="K49" i="41"/>
  <c r="K35" i="41" l="1"/>
  <c r="K34" i="41"/>
  <c r="K45" i="41"/>
  <c r="L45" i="41"/>
  <c r="K44" i="41"/>
  <c r="K43" i="41"/>
  <c r="K48" i="41"/>
  <c r="K46" i="41"/>
  <c r="K41" i="41"/>
  <c r="K40" i="41"/>
  <c r="K39" i="41"/>
  <c r="L31" i="41"/>
  <c r="K31" i="41"/>
  <c r="K30" i="41"/>
  <c r="K29" i="41"/>
  <c r="K42" i="41"/>
  <c r="K27" i="41"/>
  <c r="K22" i="41"/>
  <c r="K21" i="41"/>
  <c r="K20" i="41"/>
  <c r="K24" i="41"/>
  <c r="K23" i="41"/>
  <c r="L24" i="41"/>
  <c r="K25" i="41"/>
  <c r="K47" i="41"/>
  <c r="K32" i="41"/>
  <c r="L38" i="41"/>
  <c r="K38" i="41"/>
  <c r="K36" i="41"/>
  <c r="K37" i="41"/>
  <c r="K33" i="41"/>
  <c r="L51" i="36"/>
  <c r="K51" i="36"/>
  <c r="L50" i="37" l="1"/>
  <c r="K50" i="37"/>
  <c r="L51" i="41" l="1"/>
  <c r="K51" i="41"/>
  <c r="F22" i="30" l="1"/>
  <c r="I22" i="30" l="1"/>
  <c r="J22" i="30"/>
  <c r="J51" i="30" s="1"/>
  <c r="L22" i="30" l="1"/>
  <c r="K22" i="30"/>
  <c r="K27" i="30"/>
  <c r="K28" i="30"/>
  <c r="L23" i="30"/>
  <c r="K24" i="30"/>
  <c r="K23" i="30"/>
  <c r="K26" i="30"/>
  <c r="K25" i="30"/>
  <c r="I51" i="30"/>
  <c r="I53" i="30" s="1"/>
  <c r="I17" i="29" s="1"/>
  <c r="L51" i="30" l="1"/>
  <c r="K51" i="30"/>
  <c r="N18" i="29"/>
  <c r="I48" i="29"/>
  <c r="K17" i="29"/>
  <c r="N17" i="29"/>
  <c r="N16" i="29"/>
  <c r="J53" i="30"/>
  <c r="J17" i="29" s="1"/>
  <c r="J48" i="29" s="1"/>
  <c r="J50" i="29" l="1"/>
  <c r="J17" i="28" s="1"/>
  <c r="J51" i="28" s="1"/>
  <c r="I50" i="29"/>
  <c r="I17" i="28" l="1"/>
  <c r="N18" i="28" s="1"/>
  <c r="K17" i="28" l="1"/>
  <c r="I51" i="28"/>
  <c r="I53" i="28" s="1"/>
  <c r="N16" i="28"/>
  <c r="N17" i="28"/>
  <c r="J53" i="28" l="1"/>
  <c r="J17" i="31" s="1"/>
  <c r="I17" i="31"/>
  <c r="K17" i="31" l="1"/>
  <c r="N18" i="31"/>
  <c r="N17" i="31"/>
  <c r="F22" i="31"/>
  <c r="I22" i="31" l="1" a="1"/>
  <c r="I22" i="31" s="1"/>
  <c r="F20" i="31"/>
  <c r="I20" i="31" l="1" a="1"/>
  <c r="I20" i="31" s="1"/>
  <c r="K25" i="31" s="1"/>
  <c r="K28" i="31"/>
  <c r="K27" i="31"/>
  <c r="L24" i="31"/>
  <c r="I50" i="31" l="1"/>
  <c r="L23" i="31"/>
  <c r="K24" i="31"/>
  <c r="K20" i="31"/>
  <c r="K26" i="31"/>
  <c r="K21" i="31"/>
  <c r="K22" i="31"/>
  <c r="J50" i="31"/>
  <c r="I52" i="31" s="1"/>
  <c r="K23" i="31"/>
  <c r="L50" i="31" s="1"/>
  <c r="K50" i="31" l="1"/>
  <c r="J52" i="31"/>
  <c r="J17" i="32" s="1"/>
  <c r="J51" i="32" s="1"/>
  <c r="I17" i="32"/>
  <c r="K17" i="32" s="1"/>
  <c r="I51" i="32" l="1"/>
  <c r="I53" i="32" s="1"/>
  <c r="I17" i="33" s="1"/>
  <c r="K17" i="33" s="1"/>
  <c r="J53" i="32" l="1"/>
  <c r="J17" i="33" s="1"/>
  <c r="J50" i="33" s="1"/>
  <c r="I50" i="33"/>
  <c r="I52" i="33" l="1"/>
  <c r="I17" i="40" s="1"/>
  <c r="I51" i="40" s="1"/>
  <c r="J52" i="33"/>
  <c r="K17" i="40" l="1"/>
  <c r="J17" i="40"/>
  <c r="J51" i="40" s="1"/>
  <c r="I53" i="40" s="1"/>
  <c r="I17" i="35" l="1"/>
  <c r="K17" i="35" s="1"/>
  <c r="J53" i="40"/>
  <c r="I51" i="35" l="1"/>
  <c r="J17" i="35"/>
  <c r="J51" i="35" s="1"/>
  <c r="J53" i="35" l="1"/>
  <c r="J17" i="38" s="1"/>
  <c r="J50" i="38" s="1"/>
  <c r="I53" i="35"/>
  <c r="I17" i="38" s="1"/>
  <c r="K17" i="38" s="1"/>
  <c r="I50" i="38" l="1"/>
  <c r="J52" i="38" s="1"/>
  <c r="J17" i="36" l="1"/>
  <c r="J51" i="36" s="1"/>
  <c r="I52" i="38"/>
  <c r="I17" i="36" l="1"/>
  <c r="K17" i="36" s="1"/>
  <c r="I51" i="36" l="1"/>
  <c r="I53" i="36" s="1"/>
  <c r="I17" i="37" s="1"/>
  <c r="K17" i="37" s="1"/>
  <c r="I50" i="37" l="1"/>
  <c r="J53" i="36"/>
  <c r="J17" i="37" s="1"/>
  <c r="J50" i="37" s="1"/>
  <c r="I52" i="37" l="1"/>
  <c r="I17" i="41" s="1"/>
  <c r="J52" i="37"/>
  <c r="J17" i="41" s="1"/>
  <c r="J51" i="41" s="1"/>
  <c r="K17" i="41" l="1"/>
  <c r="I51" i="41"/>
  <c r="I53" i="41" s="1"/>
  <c r="J53" i="4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Georg Wolff</author>
    <author>test</author>
    <author>ZUV</author>
  </authors>
  <commentList>
    <comment ref="C4" authorId="0" shapeId="0" xr:uid="{132614C4-B7CD-40D8-8374-A7DEB51B91A1}">
      <text>
        <r>
          <rPr>
            <b/>
            <sz val="9"/>
            <color indexed="81"/>
            <rFont val="Tahoma"/>
            <family val="2"/>
          </rPr>
          <t>Standardeinstellung ist Deutsch. Sollte Ihr Office-Paket in einer anderen Sprache installiert sein (das ist nicht das gleiche wie die Anzeige-/Bearbeitungssprache), können Sie hier die entsprechende Sprache einstellen. Sollte Ihre Sprache dort nicht stehen, kontaktieren Sie bitte den in der Fußzeile genannten Bearbeiter des Blatts.</t>
        </r>
      </text>
    </comment>
    <comment ref="C5" authorId="1" shapeId="0" xr:uid="{00000000-0006-0000-0000-000001000000}">
      <text>
        <r>
          <rPr>
            <b/>
            <sz val="8"/>
            <color indexed="81"/>
            <rFont val="Tahoma"/>
            <family val="2"/>
          </rPr>
          <t xml:space="preserve">Zu Beginn dieses Monats werden Ihre Plus- bzw. Minusstunden übernommen.
</t>
        </r>
      </text>
    </comment>
    <comment ref="D12" authorId="2" shapeId="0" xr:uid="{00000000-0006-0000-0000-000002000000}">
      <text>
        <r>
          <rPr>
            <b/>
            <sz val="8"/>
            <color indexed="81"/>
            <rFont val="Tahoma"/>
            <family val="2"/>
          </rPr>
          <t>ZUV:</t>
        </r>
        <r>
          <rPr>
            <sz val="8"/>
            <color indexed="81"/>
            <rFont val="Tahoma"/>
            <family val="2"/>
          </rPr>
          <t xml:space="preserve">
beachte plus 1 minute bei den 39,5 stunden az-verhältnissen, damit die automatische berechnung der maximalen gleitzeit (trotz rundung bei der berechnung) funktioniert</t>
        </r>
      </text>
    </comment>
    <comment ref="D19" authorId="2" shapeId="0" xr:uid="{00000000-0006-0000-0000-000003000000}">
      <text>
        <r>
          <rPr>
            <sz val="8"/>
            <color indexed="81"/>
            <rFont val="Tahoma"/>
            <family val="2"/>
          </rPr>
          <t xml:space="preserve">
Eingabeformat ist z.b.: 8:00</t>
        </r>
      </text>
    </comment>
    <comment ref="D20" authorId="2" shapeId="0" xr:uid="{00000000-0006-0000-0000-000004000000}">
      <text>
        <r>
          <rPr>
            <sz val="8"/>
            <color indexed="81"/>
            <rFont val="Tahoma"/>
            <family val="2"/>
          </rPr>
          <t xml:space="preserve">
Eingabeformat ist z.b.: 8:00</t>
        </r>
      </text>
    </comment>
    <comment ref="D21" authorId="2" shapeId="0" xr:uid="{00000000-0006-0000-0000-000005000000}">
      <text>
        <r>
          <rPr>
            <sz val="8"/>
            <color indexed="81"/>
            <rFont val="Tahoma"/>
            <family val="2"/>
          </rPr>
          <t xml:space="preserve">
Eingabeformat ist z.b.: 8:00</t>
        </r>
      </text>
    </comment>
    <comment ref="D22" authorId="2" shapeId="0" xr:uid="{00000000-0006-0000-0000-000006000000}">
      <text>
        <r>
          <rPr>
            <sz val="8"/>
            <color indexed="81"/>
            <rFont val="Tahoma"/>
            <family val="2"/>
          </rPr>
          <t xml:space="preserve">
Eingabeformat ist z.b.: 8:00</t>
        </r>
      </text>
    </comment>
    <comment ref="D23" authorId="2" shapeId="0" xr:uid="{00000000-0006-0000-0000-000007000000}">
      <text>
        <r>
          <rPr>
            <sz val="8"/>
            <color indexed="81"/>
            <rFont val="Tahoma"/>
            <family val="2"/>
          </rPr>
          <t xml:space="preserve">
Eingabeformat ist z.b.: 8:00</t>
        </r>
      </text>
    </comment>
    <comment ref="D26" authorId="1" shapeId="0" xr:uid="{00000000-0006-0000-0000-000008000000}">
      <text>
        <r>
          <rPr>
            <b/>
            <sz val="8"/>
            <color indexed="81"/>
            <rFont val="Tahoma"/>
            <family val="2"/>
          </rPr>
          <t xml:space="preserve">
Bei Änderungen der persönlichen Verhältnisse (z.B. Beschäftigungsumfang, Name durch Heirat etc.) während des Jahres kann man eine separate Datei (Arbeitszeitmappe) für den verbleibenden Rest des Jahres anlegen und dies hier kenntlich machen.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H50" authorId="0" shapeId="0" xr:uid="{00000000-0006-0000-0900-000001000000}">
      <text>
        <r>
          <rPr>
            <b/>
            <sz val="8"/>
            <color indexed="81"/>
            <rFont val="Tahoma"/>
            <family val="2"/>
          </rPr>
          <t>Regelarbeitszeit Montag (s. Mantelbogen). Änderungen werden für die Folgemonate übernommen.</t>
        </r>
        <r>
          <rPr>
            <sz val="8"/>
            <color indexed="81"/>
            <rFont val="Tahoma"/>
            <family val="2"/>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H51" authorId="0" shapeId="0" xr:uid="{00000000-0006-0000-0A00-000001000000}">
      <text>
        <r>
          <rPr>
            <b/>
            <sz val="8"/>
            <color indexed="81"/>
            <rFont val="Tahoma"/>
            <family val="2"/>
          </rPr>
          <t>Regelarbeitszeit Montag (s. Mantelbogen). Änderungen werden für die Folgemonate übernommen.</t>
        </r>
        <r>
          <rPr>
            <sz val="8"/>
            <color indexed="81"/>
            <rFont val="Tahoma"/>
            <family val="2"/>
          </rPr>
          <t xml:space="preserve">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H50" authorId="0" shapeId="0" xr:uid="{00000000-0006-0000-0B00-000001000000}">
      <text>
        <r>
          <rPr>
            <b/>
            <sz val="8"/>
            <color indexed="81"/>
            <rFont val="Tahoma"/>
            <family val="2"/>
          </rPr>
          <t>Regelarbeitszeit Montag (s. Mantelbogen). Änderungen werden für die Folgemonate übernommen.</t>
        </r>
        <r>
          <rPr>
            <sz val="8"/>
            <color indexed="81"/>
            <rFont val="Tahoma"/>
            <family val="2"/>
          </rPr>
          <t xml:space="preserve">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H51" authorId="0" shapeId="0" xr:uid="{00000000-0006-0000-0C00-000001000000}">
      <text>
        <r>
          <rPr>
            <b/>
            <sz val="8"/>
            <color indexed="81"/>
            <rFont val="Tahoma"/>
            <family val="2"/>
          </rPr>
          <t>Regelarbeitszeit Montag (s. Mantelbogen). Änderungen werden für die Folgemonate übernommen.</t>
        </r>
        <r>
          <rPr>
            <sz val="8"/>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H51" authorId="0" shapeId="0" xr:uid="{00000000-0006-0000-0100-000001000000}">
      <text>
        <r>
          <rPr>
            <b/>
            <sz val="8"/>
            <color indexed="81"/>
            <rFont val="Tahoma"/>
            <family val="2"/>
          </rPr>
          <t>Regelarbeitszeit Montag (s. Mantelbogen). Änderungen werden für die Folgemonate übernommen.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H48" authorId="0" shapeId="0" xr:uid="{00000000-0006-0000-0200-000001000000}">
      <text>
        <r>
          <rPr>
            <b/>
            <sz val="8"/>
            <color indexed="81"/>
            <rFont val="Tahoma"/>
            <family val="2"/>
          </rPr>
          <t>Regelarbeitszeit Montag (s. Mantelbogen). Änderungen werden für die Folgemonate übernommen.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H51" authorId="0" shapeId="0" xr:uid="{00000000-0006-0000-0300-000001000000}">
      <text>
        <r>
          <rPr>
            <b/>
            <sz val="8"/>
            <color indexed="81"/>
            <rFont val="Tahoma"/>
            <family val="2"/>
          </rPr>
          <t>Regelarbeitszeit Montag (s. Mantelbogen). Änderungen werden für die Folgemonate übernommen.</t>
        </r>
        <r>
          <rPr>
            <sz val="8"/>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H50" authorId="0" shapeId="0" xr:uid="{00000000-0006-0000-0400-000001000000}">
      <text>
        <r>
          <rPr>
            <b/>
            <sz val="8"/>
            <color indexed="81"/>
            <rFont val="Tahoma"/>
            <family val="2"/>
          </rPr>
          <t>Regelarbeitszeit Montag (s. Mantelbogen). Änderungen werden für die Folgemonate übernommen.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H51" authorId="0" shapeId="0" xr:uid="{00000000-0006-0000-0500-000001000000}">
      <text>
        <r>
          <rPr>
            <b/>
            <sz val="8"/>
            <color indexed="81"/>
            <rFont val="Tahoma"/>
            <family val="2"/>
          </rPr>
          <t>Regelarbeitszeit Montag (s. Mantelbogen). Änderungen werden für die Folgemonate übernommen.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H50" authorId="0" shapeId="0" xr:uid="{00000000-0006-0000-0600-000001000000}">
      <text>
        <r>
          <rPr>
            <b/>
            <sz val="8"/>
            <color indexed="81"/>
            <rFont val="Tahoma"/>
            <family val="2"/>
          </rPr>
          <t>Regelarbeitszeit Montag (s. Mantelbogen). Änderungen werden für die Folgemonate übernommen.</t>
        </r>
        <r>
          <rPr>
            <sz val="8"/>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H51" authorId="0" shapeId="0" xr:uid="{00000000-0006-0000-0700-000001000000}">
      <text>
        <r>
          <rPr>
            <b/>
            <sz val="8"/>
            <color indexed="81"/>
            <rFont val="Tahoma"/>
            <family val="2"/>
          </rPr>
          <t>Regelarbeitszeit Montag (s. Mantelbogen). Änderungen werden für die Folgemonate übernommen.</t>
        </r>
        <r>
          <rPr>
            <sz val="8"/>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H51" authorId="0" shapeId="0" xr:uid="{00000000-0006-0000-0800-000001000000}">
      <text>
        <r>
          <rPr>
            <b/>
            <sz val="8"/>
            <color indexed="81"/>
            <rFont val="Tahoma"/>
            <family val="2"/>
          </rPr>
          <t>Regelarbeitszeit Montag (s. Mantelbogen). Änderungen werden für die Folgemonate übernommen.</t>
        </r>
        <r>
          <rPr>
            <sz val="8"/>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<sst xmlns="http://schemas.openxmlformats.org/spreadsheetml/2006/main" count="443" uniqueCount="146">
  <si>
    <t>Übertrag vom Vormonat</t>
  </si>
  <si>
    <t>Plusstunden</t>
  </si>
  <si>
    <t>Minusstunden</t>
  </si>
  <si>
    <t>Die Richtigkeit der Eintragungen bestätigt:</t>
  </si>
  <si>
    <t>Gesehen:</t>
  </si>
  <si>
    <t>Arbeitszeitblatt</t>
  </si>
  <si>
    <t>Name:</t>
  </si>
  <si>
    <t>Arbeitsstelle:</t>
  </si>
  <si>
    <t>Monat/Jahr:</t>
  </si>
  <si>
    <t>Eingangsstempel</t>
  </si>
  <si>
    <t>Leiter/in der Arbeitsstelle</t>
  </si>
  <si>
    <t>- Verwaltung -</t>
  </si>
  <si>
    <t>Gesamt:</t>
  </si>
  <si>
    <t>Saldo u. Übertrag:</t>
  </si>
  <si>
    <t>Wochentag</t>
  </si>
  <si>
    <t xml:space="preserve">Unterschrift der/des Beschäftigten </t>
  </si>
  <si>
    <t>Pausen</t>
  </si>
  <si>
    <t>Januar</t>
  </si>
  <si>
    <t>Arbeitszeit-beginn</t>
  </si>
  <si>
    <t>ALLERHEILIGEN</t>
  </si>
  <si>
    <t>DREIKÖNIG</t>
  </si>
  <si>
    <t>NEUJAHR</t>
  </si>
  <si>
    <t>Zeile</t>
  </si>
  <si>
    <t>maximale Arbeitszeit bei Vollbeschäftigung</t>
  </si>
  <si>
    <t>maximale Arbeitszeit bei 3/4 Beschäftigung</t>
  </si>
  <si>
    <t>maximale Arbeitszeit bei 1/2 Beschäftigung</t>
  </si>
  <si>
    <t>maximale Gleitzeit bei Vollbeschäftigung</t>
  </si>
  <si>
    <t>maximale Gleitzeit bei 3/4 Beschäftigung</t>
  </si>
  <si>
    <t>maximale Gleitzeit bei 1/2 Beschäftigung</t>
  </si>
  <si>
    <t>Sonstiges</t>
  </si>
  <si>
    <t xml:space="preserve"> Montag</t>
  </si>
  <si>
    <t xml:space="preserve"> Dienstag</t>
  </si>
  <si>
    <t xml:space="preserve"> Mittwoch</t>
  </si>
  <si>
    <t xml:space="preserve"> Donnerstag</t>
  </si>
  <si>
    <t xml:space="preserve"> Freitag</t>
  </si>
  <si>
    <t xml:space="preserve"> Kontrollsumme:</t>
  </si>
  <si>
    <t>Zeitkategorie:</t>
  </si>
  <si>
    <t xml:space="preserve"> Name:</t>
  </si>
  <si>
    <t xml:space="preserve"> Vorname:</t>
  </si>
  <si>
    <t xml:space="preserve"> Arbeitsstelle:</t>
  </si>
  <si>
    <t>Wöchentliche Regelarbeitszeit bei Vollzeitbeschäftigung:</t>
  </si>
  <si>
    <t>Woche</t>
  </si>
  <si>
    <r>
      <t xml:space="preserve">IST-Arbeitszeit </t>
    </r>
    <r>
      <rPr>
        <sz val="7"/>
        <rFont val="Arial"/>
        <family val="2"/>
      </rPr>
      <t xml:space="preserve">(ohne Pausen) </t>
    </r>
  </si>
  <si>
    <t>SOLL-Arbeitszeit</t>
  </si>
  <si>
    <t>Ihre individuelle wöchentliche Regelarbeitszeit:</t>
  </si>
  <si>
    <t>Sonstige Zeiten laut beigefügter Aufstellung (s. Anlage):</t>
  </si>
  <si>
    <t xml:space="preserve"> Heidelberger Akademie der Wissenschaften</t>
  </si>
  <si>
    <t xml:space="preserve">   Arbeitszeitblatt</t>
  </si>
  <si>
    <t xml:space="preserve">   Heidelberger Akademie der Wissenschaften</t>
  </si>
  <si>
    <t xml:space="preserve">Falls weitere Arbeitszeiten (z.B. im Rahmen von Dienstreisen) berücksichtigt werden müssen, </t>
  </si>
  <si>
    <t>die nicht in das vorgegebene Schema passen, fügen Sie bitte ein Beiblatt mit einer separaten Aufstellung</t>
  </si>
  <si>
    <t>jeweiligen Monatsblatt ein.</t>
  </si>
  <si>
    <t xml:space="preserve"> Gültig ab:</t>
  </si>
  <si>
    <t>Gleitzeitkonto</t>
  </si>
  <si>
    <t>Verteilung der  wöchentlichen Regelarbeitszeit auf die Wochentage (dient ausschließlich Ihrer eigenen Übersicht mit Hilfe der täglichen Plus- bzw. Minusstunden):</t>
  </si>
  <si>
    <t>ATHENE</t>
  </si>
  <si>
    <t>Pallas</t>
  </si>
  <si>
    <t xml:space="preserve">Bei der Angabe der Pausen ist die jeweilige gesetzliche Mindestdauer zu beachten. Bei fehlerhafter
</t>
  </si>
  <si>
    <t>Eingabe erfolgt ein optischer Hinweis (rot). Die korrekte Pause kann dann manuell eingetragen werden.</t>
  </si>
  <si>
    <t>Plus</t>
  </si>
  <si>
    <t>Minus</t>
  </si>
  <si>
    <t>Resturlaub (Übertrag)</t>
  </si>
  <si>
    <t>Jahresurlaub (in Arbeitstagen)</t>
  </si>
  <si>
    <t>An Tagen, die keine regulären Arbeitstage sind, bitte folgende Bezeichnungen in Spalte C eintragen:</t>
  </si>
  <si>
    <t xml:space="preserve">Diese Arbeitszeitmappe wurde mit und für Excel 2016 in deutscher Sprache unter Windows 10 erstellt; </t>
  </si>
  <si>
    <t>Die 1. Kommentarspalte M wird mit ausgedruckt, die 2. Spalte N ist für private Anmerkungen vorgesehen.</t>
  </si>
  <si>
    <t>bei Benutzung mit anderen Programmen oder Betriebssystemen kann es (u.a. opt.) Abweichungen geben.</t>
  </si>
  <si>
    <t>https://www.hadw-bw.de/gleitzeitordnung</t>
  </si>
  <si>
    <t>- an Urlaubstagen:</t>
  </si>
  <si>
    <t>- bei Krankheit:</t>
  </si>
  <si>
    <t>Geschäftsstelle</t>
  </si>
  <si>
    <t>ggf. abweichend in anderen Städten</t>
  </si>
  <si>
    <t>Wochentage:</t>
  </si>
  <si>
    <t>Deutsch</t>
  </si>
  <si>
    <t>TTTT</t>
  </si>
  <si>
    <t>Englisch</t>
  </si>
  <si>
    <t>dddd</t>
  </si>
  <si>
    <t>Französisch</t>
  </si>
  <si>
    <t>jjjj</t>
  </si>
  <si>
    <t>Sprache</t>
  </si>
  <si>
    <t>Code</t>
  </si>
  <si>
    <t>Sprachcode:</t>
  </si>
  <si>
    <t>KARFREITAG</t>
  </si>
  <si>
    <t>OSTERMONTAG</t>
  </si>
  <si>
    <t>TAG DER ARBEIT</t>
  </si>
  <si>
    <t>PFINGSTMONTAG</t>
  </si>
  <si>
    <t>FRONLEICHNAM</t>
  </si>
  <si>
    <t>TAG DER DT. EINHEIT</t>
  </si>
  <si>
    <t>WEIHNACHTEN</t>
  </si>
  <si>
    <t>HEILIGABEND</t>
  </si>
  <si>
    <t>Februar</t>
  </si>
  <si>
    <t>Column1</t>
  </si>
  <si>
    <t>Monat</t>
  </si>
  <si>
    <t>März</t>
  </si>
  <si>
    <t>April</t>
  </si>
  <si>
    <t>Mai</t>
  </si>
  <si>
    <t>Juni</t>
  </si>
  <si>
    <t>Juli</t>
  </si>
  <si>
    <t>August</t>
  </si>
  <si>
    <t>September</t>
  </si>
  <si>
    <t>Oktober</t>
  </si>
  <si>
    <t>November</t>
  </si>
  <si>
    <t>Dezember</t>
  </si>
  <si>
    <t>Beschäftigungsumfang in Prozent (Vollbeschäftigt = 100 %)</t>
  </si>
  <si>
    <t xml:space="preserve"> Gleitzeitkonto zum Beginn des Monats:</t>
  </si>
  <si>
    <t>Kappung Plusstunden auf die individuelle Wochenarbeitszeit</t>
  </si>
  <si>
    <t>VERFALL DES VORJAHRESURLAUBS ZUM MONATSENDE</t>
  </si>
  <si>
    <t xml:space="preserve"> Sprache Betriebssystem:</t>
  </si>
  <si>
    <t>CHRISTI HIMMELFAHRT</t>
  </si>
  <si>
    <t>SILVESTER</t>
  </si>
  <si>
    <t>Arbeitszeitbeginn</t>
  </si>
  <si>
    <t>Verfall des Vorjahresurlaubs zum Monatsende</t>
  </si>
  <si>
    <t>Ende März jeden Jahres verfällt das Gleitzeitguthaben, das über Ihre individuelle Wochenarbeitszeit (siehe Feld D14) hinausgeht und zum Ende September der Urlaub des Vorjahres.</t>
  </si>
  <si>
    <t>Unterrichtsfreier Tag HD</t>
  </si>
  <si>
    <t>Anfangszeit</t>
  </si>
  <si>
    <t>Endzeit</t>
  </si>
  <si>
    <t>Pause</t>
  </si>
  <si>
    <t>arbeitsfrei</t>
  </si>
  <si>
    <t>15.12.2025  HAdW / G. Wolff</t>
  </si>
  <si>
    <t>https://km.baden-wuerttemberg.de/de/service/ferien</t>
  </si>
  <si>
    <t>OSTERN</t>
  </si>
  <si>
    <t>PFINGSTEN</t>
  </si>
  <si>
    <t>Schulferien BW -&gt;</t>
  </si>
  <si>
    <t>&lt;- Schulferien BW</t>
  </si>
  <si>
    <t>&lt;-Schulferien BW</t>
  </si>
  <si>
    <t>(bis 07.01.2027)</t>
  </si>
  <si>
    <t>Schulferien HD -&gt;</t>
  </si>
  <si>
    <t>&lt;- Schulferien HD</t>
  </si>
  <si>
    <t>Urlaubstage</t>
  </si>
  <si>
    <t>Ausgleichstage</t>
  </si>
  <si>
    <t>Gesamt</t>
  </si>
  <si>
    <t>Resturlaub</t>
  </si>
  <si>
    <t>BITTE EINTRAGEN</t>
  </si>
  <si>
    <r>
      <t xml:space="preserve">Zur Information: 
</t>
    </r>
    <r>
      <rPr>
        <i/>
        <sz val="6"/>
        <rFont val="Arial"/>
        <family val="2"/>
      </rPr>
      <t xml:space="preserve">wöchentl. Arbeitszeit bei Vollbeschäftigung 39:30 h
montags bis donnerstags 8 h
freitags 7:30 h                        </t>
    </r>
  </si>
  <si>
    <r>
      <t xml:space="preserve">Bitte füllen Sie nur die nachstehenden </t>
    </r>
    <r>
      <rPr>
        <b/>
        <i/>
        <u val="double"/>
        <sz val="11"/>
        <color theme="6"/>
        <rFont val="Arial"/>
        <family val="2"/>
      </rPr>
      <t>FARBIG</t>
    </r>
    <r>
      <rPr>
        <b/>
        <sz val="11"/>
        <color theme="6"/>
        <rFont val="Arial"/>
        <family val="2"/>
      </rPr>
      <t xml:space="preserve"> hinterlegten Felder aus:</t>
    </r>
  </si>
  <si>
    <r>
      <t xml:space="preserve">                         </t>
    </r>
    <r>
      <rPr>
        <i/>
        <sz val="9"/>
        <color theme="6"/>
        <rFont val="Arial"/>
        <family val="2"/>
      </rPr>
      <t>"Urlaub"</t>
    </r>
  </si>
  <si>
    <r>
      <t xml:space="preserve">                         </t>
    </r>
    <r>
      <rPr>
        <i/>
        <sz val="9"/>
        <color theme="6"/>
        <rFont val="Arial"/>
        <family val="2"/>
      </rPr>
      <t>"krank"</t>
    </r>
  </si>
  <si>
    <r>
      <t xml:space="preserve">- bei (vorher genehmigten) Arbeitszeitausgleich: </t>
    </r>
    <r>
      <rPr>
        <i/>
        <sz val="9"/>
        <color theme="6"/>
        <rFont val="Arial"/>
        <family val="2"/>
      </rPr>
      <t>"Ausgleich"</t>
    </r>
    <r>
      <rPr>
        <b/>
        <sz val="9"/>
        <color theme="6"/>
        <rFont val="Arial"/>
        <family val="2"/>
      </rPr>
      <t xml:space="preserve"> (-&gt; Minusstunden)</t>
    </r>
  </si>
  <si>
    <r>
      <t>hinzu und tragen die Summe der ermittelten Arbeitszeiten als "</t>
    </r>
    <r>
      <rPr>
        <i/>
        <sz val="9"/>
        <color theme="6"/>
        <rFont val="Arial"/>
        <family val="2"/>
      </rPr>
      <t>Sonstige Zeiten</t>
    </r>
    <r>
      <rPr>
        <b/>
        <sz val="9"/>
        <color theme="6"/>
        <rFont val="Arial"/>
        <family val="2"/>
      </rPr>
      <t>" in Zeile 50 auf dem</t>
    </r>
  </si>
  <si>
    <t xml:space="preserve"> Arbeitszeitblatt - persönliche Angaben</t>
  </si>
  <si>
    <t>Heidelberger Akademie der Wissenschaften  - Verwaltung -</t>
  </si>
  <si>
    <t xml:space="preserve">- bei Arbeit am Wochenende außer der Regel tragen Sie in Spalte N ein: </t>
  </si>
  <si>
    <t>"Sonderarbeit"</t>
  </si>
  <si>
    <r>
      <t xml:space="preserve">IST-Arbeitszeit </t>
    </r>
    <r>
      <rPr>
        <sz val="7"/>
        <color theme="6"/>
        <rFont val="Arial"/>
        <family val="2"/>
      </rPr>
      <t xml:space="preserve">(ohne Pausen) </t>
    </r>
  </si>
  <si>
    <r>
      <t xml:space="preserve">Zur Information: 
</t>
    </r>
    <r>
      <rPr>
        <i/>
        <sz val="6"/>
        <color theme="6"/>
        <rFont val="Arial"/>
        <family val="2"/>
      </rPr>
      <t xml:space="preserve">wöchentl. Arbeitszeit bei Vollbeschäftigung 39:30 h
montags bis donnerstags 8 h
freitags 7:30 h                        </t>
    </r>
  </si>
  <si>
    <t>Arbeitszeitende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</si>
</sst>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h]:mm\ &quot;h&quot;"/>
    <numFmt numFmtId="165" formatCode="0.0"/>
    <numFmt numFmtId="166" formatCode="mmmm"/>
  </numFmts>
  <fonts count="39" x14ac:knownFonts="1">
    <font>
      <sz val="10"/>
      <name val="Arial"/>
    </font>
    <font>
      <sz val="8"/>
      <name val="Arial"/>
      <family val="2"/>
    </font>
    <font>
      <sz val="7"/>
      <name val="Arial"/>
      <family val="2"/>
    </font>
    <font>
      <sz val="10"/>
      <name val="Arial"/>
      <family val="2"/>
    </font>
    <font>
      <b/>
      <sz val="8"/>
      <color indexed="81"/>
      <name val="Tahoma"/>
      <family val="2"/>
    </font>
    <font>
      <sz val="8"/>
      <color indexed="81"/>
      <name val="Tahoma"/>
      <family val="2"/>
    </font>
    <font>
      <b/>
      <sz val="9"/>
      <color indexed="81"/>
      <name val="Tahoma"/>
      <family val="2"/>
    </font>
    <font>
      <b/>
      <sz val="10"/>
      <color theme="0"/>
      <name val="Arial"/>
      <family val="2"/>
    </font>
    <font>
      <b/>
      <sz val="10"/>
      <name val="Arial"/>
      <family val="2"/>
    </font>
    <font>
      <sz val="10"/>
      <color theme="0"/>
      <name val="Arial"/>
      <family val="2"/>
    </font>
    <font>
      <b/>
      <sz val="10"/>
      <color rgb="FFFF0000"/>
      <name val="Arial"/>
      <family val="2"/>
    </font>
    <font>
      <i/>
      <sz val="6"/>
      <name val="Arial"/>
      <family val="2"/>
    </font>
    <font>
      <sz val="8"/>
      <color theme="6"/>
      <name val="Arial"/>
      <family val="2"/>
    </font>
    <font>
      <b/>
      <sz val="12"/>
      <color theme="6"/>
      <name val="Arial"/>
      <family val="2"/>
    </font>
    <font>
      <b/>
      <sz val="11"/>
      <color theme="6"/>
      <name val="Arial"/>
      <family val="2"/>
    </font>
    <font>
      <b/>
      <i/>
      <u val="double"/>
      <sz val="11"/>
      <color theme="6"/>
      <name val="Arial"/>
      <family val="2"/>
    </font>
    <font>
      <sz val="11"/>
      <color theme="6"/>
      <name val="Arial"/>
      <family val="2"/>
    </font>
    <font>
      <sz val="10"/>
      <color theme="6"/>
      <name val="Arial"/>
      <family val="2"/>
    </font>
    <font>
      <i/>
      <sz val="11"/>
      <color theme="6"/>
      <name val="Arial"/>
      <family val="2"/>
    </font>
    <font>
      <b/>
      <sz val="10"/>
      <color theme="6"/>
      <name val="Arial"/>
      <family val="2"/>
    </font>
    <font>
      <b/>
      <sz val="9"/>
      <color theme="6"/>
      <name val="Arial"/>
      <family val="2"/>
    </font>
    <font>
      <sz val="9"/>
      <color theme="6"/>
      <name val="Arial"/>
      <family val="2"/>
    </font>
    <font>
      <i/>
      <sz val="9"/>
      <color theme="6"/>
      <name val="Arial"/>
      <family val="2"/>
    </font>
    <font>
      <sz val="6"/>
      <color theme="6"/>
      <name val="Arial"/>
      <family val="2"/>
    </font>
    <font>
      <sz val="14"/>
      <color theme="0"/>
      <name val="Arial"/>
      <family val="2"/>
    </font>
    <font>
      <b/>
      <sz val="22"/>
      <color theme="0"/>
      <name val="Arial"/>
      <family val="2"/>
    </font>
    <font>
      <b/>
      <i/>
      <sz val="10"/>
      <color theme="6"/>
      <name val="Arial"/>
      <family val="2"/>
    </font>
    <font>
      <sz val="7"/>
      <color theme="6"/>
      <name val="Arial"/>
      <family val="2"/>
    </font>
    <font>
      <b/>
      <sz val="8"/>
      <color theme="6"/>
      <name val="Arial"/>
      <family val="2"/>
    </font>
    <font>
      <i/>
      <sz val="8"/>
      <color theme="6"/>
      <name val="Arial"/>
      <family val="2"/>
    </font>
    <font>
      <i/>
      <sz val="10"/>
      <color theme="6"/>
      <name val="Arial"/>
      <family val="2"/>
    </font>
    <font>
      <b/>
      <sz val="18"/>
      <color theme="6"/>
      <name val="Arial"/>
      <family val="2"/>
    </font>
    <font>
      <b/>
      <i/>
      <sz val="6"/>
      <color theme="6"/>
      <name val="Arial"/>
      <family val="2"/>
    </font>
    <font>
      <i/>
      <sz val="6"/>
      <color theme="6"/>
      <name val="Arial"/>
      <family val="2"/>
    </font>
    <font>
      <b/>
      <sz val="12"/>
      <color theme="0"/>
      <name val="Arial"/>
      <family val="2"/>
    </font>
    <font>
      <b/>
      <sz val="20"/>
      <color theme="0"/>
      <name val="Arial"/>
      <family val="2"/>
    </font>
    <font>
      <sz val="6"/>
      <color theme="6" tint="0.749992370372631"/>
      <name val="Arial"/>
      <family val="2"/>
    </font>
    <font>
      <sz val="8"/>
      <color theme="6" tint="0.749992370372631"/>
      <name val="Arial"/>
      <family val="2"/>
    </font>
    <font>
      <b/>
      <sz val="8"/>
      <color theme="6" tint="0.749992370372631"/>
      <name val="Arial"/>
      <family val="2"/>
    </font>
  </fonts>
  <fills count="9">
    <fill>
      <patternFill patternType="none"/>
    </fill>
    <fill>
      <patternFill patternType="gray125"/>
    </fill>
    <fill>
      <patternFill patternType="solid">
        <fgColor indexed="9"/>
        <bgColor indexed="64"/>
      </patternFill>
    </fill>
    <fill>
      <patternFill patternType="solid">
        <fgColor rgb="FF99CCFF"/>
        <bgColor indexed="64"/>
      </patternFill>
    </fill>
    <fill>
      <patternFill patternType="solid">
        <fgColor theme="0"/>
        <bgColor indexed="64"/>
      </patternFill>
    </fill>
    <fill>
      <patternFill patternType="solid">
        <fgColor theme="5"/>
        <bgColor indexed="64"/>
      </patternFill>
    </fill>
    <fill>
      <patternFill patternType="solid">
        <fgColor theme="4" tint="0.79998168889431442"/>
        <bgColor indexed="64"/>
      </patternFill>
    </fill>
    <fill>
      <patternFill patternType="solid">
        <fgColor theme="4"/>
        <bgColor indexed="64"/>
      </patternFill>
    </fill>
    <fill>
      <patternFill patternType="solid">
        <fgColor theme="5" tint="0.59999389629810485"/>
        <bgColor indexed="64"/>
      </patternFill>
    </fill>
  </fills>
  <borders count="81">
    <border>
      <left/>
      <right/>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8"/>
      </bottom>
      <diagonal/>
    </border>
    <border>
      <left/>
      <right/>
      <top/>
      <bottom style="medium">
        <color indexed="64"/>
      </bottom>
      <diagonal/>
    </border>
    <border>
      <left/>
      <right/>
      <top/>
      <bottom style="thin">
        <color indexed="64"/>
      </bottom>
      <diagonal/>
    </border>
    <border>
      <left/>
      <right/>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64"/>
      </top>
      <bottom style="thin">
        <color indexed="64"/>
      </bottom>
      <diagonal/>
    </border>
    <border>
      <left/>
      <right style="thin">
        <color indexed="8"/>
      </right>
      <top style="thin">
        <color indexed="8"/>
      </top>
      <bottom/>
      <diagonal/>
    </border>
    <border>
      <left style="thin">
        <color indexed="64"/>
      </left>
      <right style="thin">
        <color indexed="64"/>
      </right>
      <top style="thin">
        <color indexed="64"/>
      </top>
      <bottom/>
      <diagonal/>
    </border>
    <border>
      <left/>
      <right style="thin">
        <color indexed="8"/>
      </right>
      <top style="thin">
        <color indexed="8"/>
      </top>
      <bottom style="thin">
        <color indexed="8"/>
      </bottom>
      <diagonal/>
    </border>
    <border>
      <left style="thin">
        <color indexed="64"/>
      </left>
      <right/>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8"/>
      </left>
      <right style="thin">
        <color indexed="64"/>
      </right>
      <top style="thin">
        <color indexed="8"/>
      </top>
      <bottom style="thin">
        <color indexed="8"/>
      </bottom>
      <diagonal/>
    </border>
    <border>
      <left style="thin">
        <color indexed="64"/>
      </left>
      <right/>
      <top style="medium">
        <color indexed="64"/>
      </top>
      <bottom style="medium">
        <color indexed="64"/>
      </bottom>
      <diagonal/>
    </border>
    <border>
      <left/>
      <right/>
      <top style="thin">
        <color indexed="64"/>
      </top>
      <bottom/>
      <diagonal/>
    </border>
    <border>
      <left/>
      <right/>
      <top style="medium">
        <color indexed="64"/>
      </top>
      <bottom/>
      <diagonal/>
    </border>
    <border>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8"/>
      </bottom>
      <diagonal/>
    </border>
    <border>
      <left style="thin">
        <color indexed="8"/>
      </left>
      <right/>
      <top style="thin">
        <color indexed="8"/>
      </top>
      <bottom style="thin">
        <color indexed="8"/>
      </bottom>
      <diagonal/>
    </border>
    <border>
      <left style="medium">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8"/>
      </top>
      <bottom/>
      <diagonal/>
    </border>
    <border>
      <left style="medium">
        <color indexed="8"/>
      </left>
      <right/>
      <top/>
      <bottom/>
      <diagonal/>
    </border>
    <border>
      <left style="medium">
        <color indexed="8"/>
      </left>
      <right/>
      <top style="medium">
        <color indexed="8"/>
      </top>
      <bottom/>
      <diagonal/>
    </border>
    <border>
      <left/>
      <right style="medium">
        <color indexed="8"/>
      </right>
      <top style="medium">
        <color indexed="8"/>
      </top>
      <bottom/>
      <diagonal/>
    </border>
    <border>
      <left style="medium">
        <color indexed="8"/>
      </left>
      <right/>
      <top/>
      <bottom style="medium">
        <color indexed="8"/>
      </bottom>
      <diagonal/>
    </border>
    <border>
      <left/>
      <right style="medium">
        <color indexed="8"/>
      </right>
      <top/>
      <bottom style="medium">
        <color indexed="8"/>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8"/>
      </left>
      <right style="thin">
        <color indexed="8"/>
      </right>
      <top/>
      <bottom style="thin">
        <color indexed="8"/>
      </bottom>
      <diagonal/>
    </border>
    <border>
      <left style="thin">
        <color indexed="64"/>
      </left>
      <right/>
      <top style="thin">
        <color indexed="8"/>
      </top>
      <bottom style="thin">
        <color indexed="8"/>
      </bottom>
      <diagonal/>
    </border>
    <border>
      <left style="thin">
        <color indexed="8"/>
      </left>
      <right style="thin">
        <color indexed="8"/>
      </right>
      <top/>
      <bottom/>
      <diagonal/>
    </border>
    <border>
      <left style="thin">
        <color indexed="8"/>
      </left>
      <right style="thin">
        <color indexed="8"/>
      </right>
      <top/>
      <bottom style="thin">
        <color indexed="64"/>
      </bottom>
      <diagonal/>
    </border>
    <border>
      <left style="medium">
        <color indexed="64"/>
      </left>
      <right style="medium">
        <color indexed="64"/>
      </right>
      <top/>
      <bottom/>
      <diagonal/>
    </border>
    <border>
      <left style="medium">
        <color indexed="64"/>
      </left>
      <right/>
      <top/>
      <bottom/>
      <diagonal/>
    </border>
    <border>
      <left/>
      <right style="thin">
        <color indexed="64"/>
      </right>
      <top/>
      <bottom style="medium">
        <color indexed="64"/>
      </bottom>
      <diagonal/>
    </border>
    <border>
      <left style="medium">
        <color indexed="8"/>
      </left>
      <right style="thin">
        <color indexed="8"/>
      </right>
      <top style="medium">
        <color indexed="8"/>
      </top>
      <bottom/>
      <diagonal/>
    </border>
    <border>
      <left style="medium">
        <color indexed="8"/>
      </left>
      <right style="thin">
        <color indexed="8"/>
      </right>
      <top/>
      <bottom style="medium">
        <color indexed="8"/>
      </bottom>
      <diagonal/>
    </border>
    <border>
      <left style="thin">
        <color indexed="8"/>
      </left>
      <right style="medium">
        <color indexed="64"/>
      </right>
      <top style="medium">
        <color indexed="64"/>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right style="thin">
        <color indexed="8"/>
      </right>
      <top style="medium">
        <color indexed="64"/>
      </top>
      <bottom style="thin">
        <color indexed="8"/>
      </bottom>
      <diagonal/>
    </border>
    <border>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diagonal/>
    </border>
    <border>
      <left style="thin">
        <color indexed="64"/>
      </left>
      <right/>
      <top style="thin">
        <color indexed="64"/>
      </top>
      <bottom/>
      <diagonal/>
    </border>
    <border>
      <left style="thin">
        <color indexed="64"/>
      </left>
      <right/>
      <top/>
      <bottom style="thin">
        <color indexed="8"/>
      </bottom>
      <diagonal/>
    </border>
    <border>
      <left style="thin">
        <color indexed="8"/>
      </left>
      <right/>
      <top style="thin">
        <color indexed="8"/>
      </top>
      <bottom/>
      <diagonal/>
    </border>
    <border>
      <left/>
      <right style="thin">
        <color indexed="64"/>
      </right>
      <top style="thin">
        <color indexed="8"/>
      </top>
      <bottom/>
      <diagonal/>
    </border>
    <border>
      <left style="thin">
        <color indexed="8"/>
      </left>
      <right/>
      <top/>
      <bottom/>
      <diagonal/>
    </border>
    <border>
      <left style="thin">
        <color indexed="8"/>
      </left>
      <right/>
      <top/>
      <bottom style="thin">
        <color indexed="8"/>
      </bottom>
      <diagonal/>
    </border>
    <border>
      <left/>
      <right style="thin">
        <color indexed="64"/>
      </right>
      <top/>
      <bottom style="thin">
        <color indexed="8"/>
      </bottom>
      <diagonal/>
    </border>
    <border>
      <left style="thin">
        <color indexed="8"/>
      </left>
      <right style="medium">
        <color indexed="8"/>
      </right>
      <top style="medium">
        <color indexed="8"/>
      </top>
      <bottom/>
      <diagonal/>
    </border>
    <border>
      <left style="thin">
        <color indexed="8"/>
      </left>
      <right style="medium">
        <color indexed="8"/>
      </right>
      <top/>
      <bottom style="medium">
        <color indexed="8"/>
      </bottom>
      <diagonal/>
    </border>
    <border>
      <left/>
      <right style="medium">
        <color indexed="8"/>
      </right>
      <top style="thin">
        <color indexed="8"/>
      </top>
      <bottom style="thin">
        <color indexed="8"/>
      </bottom>
      <diagonal/>
    </border>
    <border>
      <left style="thin">
        <color indexed="64"/>
      </left>
      <right/>
      <top style="thin">
        <color indexed="8"/>
      </top>
      <bottom style="thin">
        <color indexed="64"/>
      </bottom>
      <diagonal/>
    </border>
    <border>
      <left/>
      <right style="thin">
        <color indexed="8"/>
      </right>
      <top style="thin">
        <color indexed="8"/>
      </top>
      <bottom style="thin">
        <color indexed="64"/>
      </bottom>
      <diagonal/>
    </border>
  </borders>
  <cellStyleXfs count="2">
    <xf numFmtId="0" fontId="0" fillId="0" borderId="0"/>
    <xf numFmtId="0" fontId="3" fillId="0" borderId="0"/>
  </cellStyleXfs>
  <cellXfs count="309">
    <xf numFmtId="0" fontId="0" fillId="0" borderId="0" xfId="0"/>
    <xf numFmtId="0" fontId="0" fillId="0" borderId="0" xfId="0" applyProtection="1">
      <protection hidden="1"/>
    </xf>
    <xf numFmtId="0" fontId="3" fillId="0" borderId="0" xfId="0" applyFont="1"/>
    <xf numFmtId="166" fontId="3" fillId="0" borderId="0" xfId="0" applyNumberFormat="1" applyFont="1"/>
    <xf numFmtId="1" fontId="0" fillId="0" borderId="0" xfId="0" applyNumberFormat="1"/>
    <xf numFmtId="21" fontId="3" fillId="0" borderId="0" xfId="0" applyNumberFormat="1" applyFont="1"/>
    <xf numFmtId="0" fontId="8" fillId="0" borderId="0" xfId="0" applyFont="1"/>
    <xf numFmtId="0" fontId="1" fillId="0" borderId="0" xfId="1" applyFont="1" applyAlignment="1" applyProtection="1">
      <alignment vertical="center"/>
      <protection hidden="1"/>
    </xf>
    <xf numFmtId="0" fontId="3" fillId="0" borderId="0" xfId="1" applyFont="1" applyProtection="1">
      <protection hidden="1"/>
    </xf>
    <xf numFmtId="0" fontId="12" fillId="0" borderId="0" xfId="1" applyFont="1" applyAlignment="1" applyProtection="1">
      <alignment vertical="center"/>
      <protection hidden="1"/>
    </xf>
    <xf numFmtId="0" fontId="12" fillId="0" borderId="20" xfId="1" applyFont="1" applyBorder="1" applyAlignment="1" applyProtection="1">
      <alignment horizontal="center" vertical="center"/>
      <protection hidden="1"/>
    </xf>
    <xf numFmtId="0" fontId="14" fillId="0" borderId="20" xfId="1" applyFont="1" applyFill="1" applyBorder="1" applyAlignment="1" applyProtection="1">
      <alignment horizontal="left" vertical="center"/>
      <protection hidden="1"/>
    </xf>
    <xf numFmtId="0" fontId="14" fillId="0" borderId="21" xfId="1" applyFont="1" applyBorder="1" applyAlignment="1" applyProtection="1">
      <alignment horizontal="left" vertical="center" wrapText="1"/>
      <protection hidden="1"/>
    </xf>
    <xf numFmtId="0" fontId="17" fillId="0" borderId="20" xfId="1" applyFont="1" applyBorder="1" applyAlignment="1" applyProtection="1">
      <alignment horizontal="center" vertical="center"/>
      <protection hidden="1"/>
    </xf>
    <xf numFmtId="0" fontId="14" fillId="0" borderId="22" xfId="1" applyFont="1" applyBorder="1" applyAlignment="1" applyProtection="1">
      <alignment horizontal="left" vertical="center" wrapText="1"/>
      <protection hidden="1"/>
    </xf>
    <xf numFmtId="0" fontId="17" fillId="0" borderId="0" xfId="1" applyFont="1" applyProtection="1">
      <protection hidden="1"/>
    </xf>
    <xf numFmtId="0" fontId="14" fillId="0" borderId="21" xfId="1" applyFont="1" applyBorder="1" applyAlignment="1" applyProtection="1">
      <alignment horizontal="left" vertical="center" wrapText="1"/>
      <protection hidden="1"/>
    </xf>
    <xf numFmtId="0" fontId="16" fillId="0" borderId="32" xfId="1" applyFont="1" applyBorder="1" applyAlignment="1" applyProtection="1">
      <protection hidden="1"/>
    </xf>
    <xf numFmtId="164" fontId="16" fillId="0" borderId="1" xfId="1" applyNumberFormat="1" applyFont="1" applyFill="1" applyBorder="1" applyAlignment="1" applyProtection="1">
      <alignment horizontal="center" vertical="center"/>
      <protection hidden="1"/>
    </xf>
    <xf numFmtId="49" fontId="14" fillId="0" borderId="21" xfId="1" applyNumberFormat="1" applyFont="1" applyBorder="1" applyAlignment="1" applyProtection="1">
      <alignment horizontal="center" vertical="center" wrapText="1"/>
      <protection hidden="1"/>
    </xf>
    <xf numFmtId="49" fontId="14" fillId="0" borderId="26" xfId="1" applyNumberFormat="1" applyFont="1" applyBorder="1" applyAlignment="1" applyProtection="1">
      <alignment horizontal="center" vertical="center"/>
      <protection hidden="1"/>
    </xf>
    <xf numFmtId="0" fontId="16" fillId="0" borderId="21" xfId="1" applyFont="1" applyBorder="1" applyAlignment="1" applyProtection="1">
      <alignment vertical="center"/>
      <protection hidden="1"/>
    </xf>
    <xf numFmtId="46" fontId="16" fillId="0" borderId="2" xfId="1" applyNumberFormat="1" applyFont="1" applyBorder="1" applyAlignment="1" applyProtection="1">
      <alignment horizontal="center" vertical="center"/>
      <protection hidden="1"/>
    </xf>
    <xf numFmtId="164" fontId="16" fillId="2" borderId="1" xfId="1" applyNumberFormat="1" applyFont="1" applyFill="1" applyBorder="1" applyAlignment="1" applyProtection="1">
      <alignment horizontal="center" vertical="center"/>
      <protection hidden="1"/>
    </xf>
    <xf numFmtId="46" fontId="16" fillId="0" borderId="23" xfId="1" applyNumberFormat="1" applyFont="1" applyBorder="1" applyAlignment="1" applyProtection="1">
      <alignment horizontal="center" vertical="center"/>
      <protection hidden="1"/>
    </xf>
    <xf numFmtId="0" fontId="14" fillId="0" borderId="21" xfId="1" applyFont="1" applyBorder="1" applyAlignment="1" applyProtection="1">
      <alignment vertical="center"/>
      <protection hidden="1"/>
    </xf>
    <xf numFmtId="0" fontId="14" fillId="0" borderId="66" xfId="1" applyFont="1" applyBorder="1" applyAlignment="1" applyProtection="1">
      <alignment vertical="center"/>
      <protection hidden="1"/>
    </xf>
    <xf numFmtId="164" fontId="16" fillId="0" borderId="24" xfId="1" applyNumberFormat="1" applyFont="1" applyFill="1" applyBorder="1" applyAlignment="1" applyProtection="1">
      <alignment horizontal="center" vertical="center"/>
      <protection hidden="1"/>
    </xf>
    <xf numFmtId="46" fontId="16" fillId="0" borderId="25" xfId="1" applyNumberFormat="1" applyFont="1" applyBorder="1" applyAlignment="1" applyProtection="1">
      <alignment horizontal="center" vertical="center"/>
      <protection hidden="1"/>
    </xf>
    <xf numFmtId="46" fontId="16" fillId="2" borderId="1" xfId="1" applyNumberFormat="1" applyFont="1" applyFill="1" applyBorder="1" applyAlignment="1" applyProtection="1">
      <alignment horizontal="center" vertical="center"/>
      <protection hidden="1"/>
    </xf>
    <xf numFmtId="0" fontId="16" fillId="0" borderId="46" xfId="1" applyFont="1" applyBorder="1" applyAlignment="1" applyProtection="1">
      <alignment vertical="center"/>
      <protection hidden="1"/>
    </xf>
    <xf numFmtId="0" fontId="17" fillId="0" borderId="21" xfId="1" applyFont="1" applyBorder="1" applyAlignment="1" applyProtection="1">
      <alignment horizontal="center" vertical="center"/>
      <protection hidden="1"/>
    </xf>
    <xf numFmtId="0" fontId="14" fillId="0" borderId="65" xfId="1" applyFont="1" applyBorder="1" applyAlignment="1" applyProtection="1">
      <alignment vertical="center" wrapText="1"/>
      <protection hidden="1"/>
    </xf>
    <xf numFmtId="0" fontId="16" fillId="0" borderId="67" xfId="0" applyFont="1" applyBorder="1" applyAlignment="1" applyProtection="1">
      <alignment vertical="center"/>
      <protection hidden="1"/>
    </xf>
    <xf numFmtId="0" fontId="16" fillId="0" borderId="1" xfId="1" applyFont="1" applyBorder="1" applyAlignment="1" applyProtection="1">
      <alignment horizontal="center" vertical="center"/>
      <protection hidden="1"/>
    </xf>
    <xf numFmtId="0" fontId="16" fillId="0" borderId="47" xfId="1" applyFont="1" applyBorder="1" applyAlignment="1" applyProtection="1">
      <alignment vertical="center" wrapText="1"/>
      <protection hidden="1"/>
    </xf>
    <xf numFmtId="164" fontId="14" fillId="0" borderId="19" xfId="1" applyNumberFormat="1" applyFont="1" applyBorder="1" applyAlignment="1" applyProtection="1">
      <alignment vertical="center" wrapText="1"/>
      <protection hidden="1"/>
    </xf>
    <xf numFmtId="20" fontId="17" fillId="0" borderId="0" xfId="1" applyNumberFormat="1" applyFont="1" applyProtection="1">
      <protection hidden="1"/>
    </xf>
    <xf numFmtId="0" fontId="16" fillId="0" borderId="21" xfId="1" applyFont="1" applyBorder="1" applyAlignment="1" applyProtection="1">
      <alignment vertical="center" wrapText="1"/>
      <protection hidden="1"/>
    </xf>
    <xf numFmtId="164" fontId="14" fillId="0" borderId="26" xfId="1" applyNumberFormat="1" applyFont="1" applyBorder="1" applyAlignment="1" applyProtection="1">
      <alignment vertical="center" wrapText="1"/>
      <protection hidden="1"/>
    </xf>
    <xf numFmtId="0" fontId="16" fillId="0" borderId="46" xfId="1" applyFont="1" applyBorder="1" applyAlignment="1" applyProtection="1">
      <alignment vertical="center" wrapText="1"/>
      <protection hidden="1"/>
    </xf>
    <xf numFmtId="0" fontId="16" fillId="0" borderId="22" xfId="1" applyFont="1" applyBorder="1" applyAlignment="1" applyProtection="1">
      <alignment vertical="center" wrapText="1"/>
      <protection hidden="1"/>
    </xf>
    <xf numFmtId="164" fontId="14" fillId="0" borderId="56" xfId="1" applyNumberFormat="1" applyFont="1" applyBorder="1" applyAlignment="1" applyProtection="1">
      <alignment vertical="center" wrapText="1"/>
      <protection hidden="1"/>
    </xf>
    <xf numFmtId="0" fontId="18" fillId="0" borderId="47" xfId="1" applyFont="1" applyBorder="1" applyAlignment="1" applyProtection="1">
      <alignment vertical="center"/>
      <protection hidden="1"/>
    </xf>
    <xf numFmtId="164" fontId="18" fillId="0" borderId="26" xfId="1" applyNumberFormat="1" applyFont="1" applyBorder="1" applyAlignment="1" applyProtection="1">
      <alignment vertical="center"/>
      <protection hidden="1"/>
    </xf>
    <xf numFmtId="164" fontId="14" fillId="0" borderId="1" xfId="1" applyNumberFormat="1" applyFont="1" applyBorder="1" applyAlignment="1" applyProtection="1">
      <alignment horizontal="center" vertical="center"/>
      <protection hidden="1"/>
    </xf>
    <xf numFmtId="0" fontId="19" fillId="0" borderId="21" xfId="1" applyFont="1" applyBorder="1" applyAlignment="1" applyProtection="1">
      <alignment horizontal="center" vertical="center"/>
      <protection hidden="1"/>
    </xf>
    <xf numFmtId="0" fontId="19" fillId="0" borderId="32" xfId="1" applyFont="1" applyBorder="1" applyAlignment="1" applyProtection="1">
      <alignment horizontal="center" vertical="center"/>
      <protection hidden="1"/>
    </xf>
    <xf numFmtId="0" fontId="19" fillId="0" borderId="24" xfId="1" applyFont="1" applyBorder="1" applyAlignment="1" applyProtection="1">
      <alignment horizontal="center" vertical="center"/>
      <protection hidden="1"/>
    </xf>
    <xf numFmtId="0" fontId="14" fillId="0" borderId="21" xfId="1" applyFont="1" applyBorder="1" applyAlignment="1" applyProtection="1">
      <alignment horizontal="left" vertical="center"/>
      <protection hidden="1"/>
    </xf>
    <xf numFmtId="0" fontId="14" fillId="0" borderId="26" xfId="1" applyFont="1" applyBorder="1" applyAlignment="1" applyProtection="1">
      <alignment horizontal="left" vertical="center"/>
      <protection hidden="1"/>
    </xf>
    <xf numFmtId="166" fontId="16" fillId="0" borderId="49" xfId="1" applyNumberFormat="1" applyFont="1" applyFill="1" applyBorder="1" applyAlignment="1" applyProtection="1">
      <alignment horizontal="center" vertical="center"/>
      <protection hidden="1"/>
    </xf>
    <xf numFmtId="0" fontId="14" fillId="0" borderId="27" xfId="1" applyFont="1" applyBorder="1" applyAlignment="1" applyProtection="1">
      <alignment vertical="center"/>
      <protection hidden="1"/>
    </xf>
    <xf numFmtId="0" fontId="14" fillId="0" borderId="25" xfId="1" applyFont="1" applyBorder="1" applyAlignment="1" applyProtection="1">
      <alignment horizontal="center" vertical="center"/>
      <protection hidden="1"/>
    </xf>
    <xf numFmtId="0" fontId="14" fillId="0" borderId="1" xfId="1" applyFont="1" applyBorder="1" applyAlignment="1" applyProtection="1">
      <alignment horizontal="center" vertical="center"/>
      <protection hidden="1"/>
    </xf>
    <xf numFmtId="0" fontId="14" fillId="0" borderId="22" xfId="1" applyFont="1" applyBorder="1" applyAlignment="1" applyProtection="1">
      <alignment vertical="center"/>
      <protection hidden="1"/>
    </xf>
    <xf numFmtId="1" fontId="14" fillId="0" borderId="2" xfId="1" applyNumberFormat="1" applyFont="1" applyFill="1" applyBorder="1" applyAlignment="1" applyProtection="1">
      <alignment horizontal="center" vertical="center"/>
      <protection hidden="1"/>
    </xf>
    <xf numFmtId="1" fontId="14" fillId="0" borderId="0" xfId="1" applyNumberFormat="1" applyFont="1" applyAlignment="1" applyProtection="1">
      <alignment horizontal="center" vertical="center"/>
      <protection hidden="1"/>
    </xf>
    <xf numFmtId="0" fontId="14" fillId="0" borderId="22" xfId="1" applyFont="1" applyBorder="1" applyAlignment="1" applyProtection="1">
      <alignment vertical="center"/>
      <protection locked="0"/>
    </xf>
    <xf numFmtId="164" fontId="14" fillId="0" borderId="2" xfId="1" applyNumberFormat="1" applyFont="1" applyFill="1" applyBorder="1" applyAlignment="1" applyProtection="1">
      <alignment horizontal="center" vertical="center"/>
      <protection hidden="1"/>
    </xf>
    <xf numFmtId="164" fontId="14" fillId="4" borderId="1" xfId="1" applyNumberFormat="1" applyFont="1" applyFill="1" applyBorder="1" applyAlignment="1" applyProtection="1">
      <alignment horizontal="center" vertical="center"/>
      <protection hidden="1"/>
    </xf>
    <xf numFmtId="0" fontId="19" fillId="0" borderId="21" xfId="1" applyFont="1" applyBorder="1" applyAlignment="1" applyProtection="1">
      <alignment horizontal="center" vertical="center" wrapText="1"/>
      <protection hidden="1"/>
    </xf>
    <xf numFmtId="0" fontId="19" fillId="0" borderId="32" xfId="1" applyFont="1" applyBorder="1" applyAlignment="1" applyProtection="1">
      <alignment horizontal="center" vertical="center" wrapText="1"/>
      <protection hidden="1"/>
    </xf>
    <xf numFmtId="0" fontId="19" fillId="0" borderId="24" xfId="1" applyFont="1" applyBorder="1" applyAlignment="1" applyProtection="1">
      <alignment horizontal="center" vertical="center" wrapText="1"/>
      <protection hidden="1"/>
    </xf>
    <xf numFmtId="0" fontId="17" fillId="0" borderId="0" xfId="1" applyFont="1" applyAlignment="1" applyProtection="1">
      <alignment horizontal="center"/>
      <protection hidden="1"/>
    </xf>
    <xf numFmtId="2" fontId="14" fillId="0" borderId="0" xfId="1" applyNumberFormat="1" applyFont="1" applyAlignment="1" applyProtection="1">
      <alignment horizontal="center" vertical="center"/>
      <protection hidden="1"/>
    </xf>
    <xf numFmtId="0" fontId="17" fillId="0" borderId="0" xfId="1" applyFont="1" applyAlignment="1" applyProtection="1">
      <alignment horizontal="center" vertical="center"/>
      <protection hidden="1"/>
    </xf>
    <xf numFmtId="49" fontId="20" fillId="0" borderId="0" xfId="1" applyNumberFormat="1" applyFont="1" applyProtection="1">
      <protection hidden="1"/>
    </xf>
    <xf numFmtId="49" fontId="17" fillId="0" borderId="0" xfId="1" applyNumberFormat="1" applyFont="1" applyAlignment="1" applyProtection="1">
      <alignment horizontal="center" vertical="center"/>
      <protection hidden="1"/>
    </xf>
    <xf numFmtId="49" fontId="17" fillId="0" borderId="0" xfId="1" applyNumberFormat="1" applyFont="1" applyProtection="1">
      <protection hidden="1"/>
    </xf>
    <xf numFmtId="0" fontId="12" fillId="0" borderId="0" xfId="0" applyNumberFormat="1" applyFont="1" applyBorder="1" applyProtection="1">
      <protection hidden="1"/>
    </xf>
    <xf numFmtId="49" fontId="21" fillId="0" borderId="0" xfId="1" applyNumberFormat="1" applyFont="1" applyProtection="1">
      <protection hidden="1"/>
    </xf>
    <xf numFmtId="0" fontId="12" fillId="0" borderId="0" xfId="0" applyNumberFormat="1" applyFont="1" applyProtection="1">
      <protection hidden="1"/>
    </xf>
    <xf numFmtId="49" fontId="20" fillId="0" borderId="0" xfId="0" applyNumberFormat="1" applyFont="1" applyAlignment="1"/>
    <xf numFmtId="0" fontId="12" fillId="0" borderId="0" xfId="0" applyNumberFormat="1" applyFont="1" applyAlignment="1" applyProtection="1">
      <alignment horizontal="left" vertical="center"/>
      <protection hidden="1"/>
    </xf>
    <xf numFmtId="49" fontId="20" fillId="0" borderId="0" xfId="1" applyNumberFormat="1" applyFont="1" applyAlignment="1" applyProtection="1">
      <protection hidden="1"/>
    </xf>
    <xf numFmtId="49" fontId="23" fillId="0" borderId="0" xfId="1" quotePrefix="1" applyNumberFormat="1" applyFont="1" applyFill="1" applyBorder="1" applyAlignment="1" applyProtection="1">
      <alignment horizontal="right" vertical="center"/>
      <protection hidden="1"/>
    </xf>
    <xf numFmtId="0" fontId="12" fillId="0" borderId="0" xfId="1" applyFont="1" applyAlignment="1" applyProtection="1">
      <alignment horizontal="center"/>
      <protection hidden="1"/>
    </xf>
    <xf numFmtId="14" fontId="12" fillId="0" borderId="0" xfId="1" applyNumberFormat="1" applyFont="1" applyFill="1" applyBorder="1" applyAlignment="1" applyProtection="1">
      <alignment horizontal="right"/>
      <protection hidden="1"/>
    </xf>
    <xf numFmtId="11" fontId="14" fillId="6" borderId="21" xfId="1" applyNumberFormat="1" applyFont="1" applyFill="1" applyBorder="1" applyAlignment="1" applyProtection="1">
      <alignment horizontal="center" vertical="center" wrapText="1"/>
      <protection hidden="1"/>
    </xf>
    <xf numFmtId="11" fontId="14" fillId="6" borderId="32" xfId="1" applyNumberFormat="1" applyFont="1" applyFill="1" applyBorder="1" applyAlignment="1" applyProtection="1">
      <alignment horizontal="center" vertical="center" wrapText="1"/>
      <protection hidden="1"/>
    </xf>
    <xf numFmtId="11" fontId="14" fillId="6" borderId="24" xfId="1" applyNumberFormat="1" applyFont="1" applyFill="1" applyBorder="1" applyAlignment="1" applyProtection="1">
      <alignment horizontal="center" vertical="center" wrapText="1"/>
      <protection hidden="1"/>
    </xf>
    <xf numFmtId="0" fontId="16" fillId="6" borderId="21" xfId="1" applyFont="1" applyFill="1" applyBorder="1" applyAlignment="1" applyProtection="1">
      <alignment horizontal="center" vertical="center"/>
      <protection locked="0"/>
    </xf>
    <xf numFmtId="0" fontId="16" fillId="6" borderId="24" xfId="1" applyFont="1" applyFill="1" applyBorder="1" applyAlignment="1" applyProtection="1">
      <alignment horizontal="center" vertical="center"/>
      <protection locked="0"/>
    </xf>
    <xf numFmtId="166" fontId="16" fillId="6" borderId="22" xfId="1" applyNumberFormat="1" applyFont="1" applyFill="1" applyBorder="1" applyAlignment="1" applyProtection="1">
      <alignment horizontal="center" vertical="center"/>
      <protection locked="0"/>
    </xf>
    <xf numFmtId="0" fontId="16" fillId="6" borderId="24" xfId="0" applyNumberFormat="1" applyFont="1" applyFill="1" applyBorder="1" applyAlignment="1" applyProtection="1">
      <alignment horizontal="center" vertical="center"/>
      <protection locked="0"/>
    </xf>
    <xf numFmtId="0" fontId="16" fillId="6" borderId="29" xfId="1" applyFont="1" applyFill="1" applyBorder="1" applyAlignment="1" applyProtection="1">
      <alignment horizontal="center" vertical="center"/>
      <protection locked="0"/>
    </xf>
    <xf numFmtId="0" fontId="16" fillId="6" borderId="24" xfId="1" applyFont="1" applyFill="1" applyBorder="1" applyAlignment="1" applyProtection="1">
      <protection locked="0"/>
    </xf>
    <xf numFmtId="49" fontId="16" fillId="6" borderId="29" xfId="1" applyNumberFormat="1" applyFont="1" applyFill="1" applyBorder="1" applyAlignment="1" applyProtection="1">
      <alignment horizontal="center" vertical="center"/>
      <protection locked="0"/>
    </xf>
    <xf numFmtId="9" fontId="16" fillId="6" borderId="1" xfId="1" applyNumberFormat="1" applyFont="1" applyFill="1" applyBorder="1" applyAlignment="1" applyProtection="1">
      <alignment horizontal="center" vertical="center" wrapText="1"/>
      <protection locked="0"/>
    </xf>
    <xf numFmtId="164" fontId="16" fillId="6" borderId="1" xfId="1" applyNumberFormat="1" applyFont="1" applyFill="1" applyBorder="1" applyAlignment="1" applyProtection="1">
      <alignment horizontal="center" vertical="center"/>
      <protection locked="0"/>
    </xf>
    <xf numFmtId="0" fontId="14" fillId="6" borderId="1" xfId="1" applyNumberFormat="1" applyFont="1" applyFill="1" applyBorder="1" applyAlignment="1" applyProtection="1">
      <alignment horizontal="center" vertical="center"/>
      <protection locked="0"/>
    </xf>
    <xf numFmtId="164" fontId="16" fillId="6" borderId="2" xfId="1" applyNumberFormat="1" applyFont="1" applyFill="1" applyBorder="1" applyAlignment="1" applyProtection="1">
      <alignment horizontal="center" vertical="center"/>
      <protection locked="0"/>
    </xf>
    <xf numFmtId="0" fontId="24" fillId="7" borderId="0" xfId="1" applyFont="1" applyFill="1" applyBorder="1" applyAlignment="1" applyProtection="1">
      <alignment horizontal="center" vertical="center"/>
      <protection hidden="1"/>
    </xf>
    <xf numFmtId="0" fontId="25" fillId="7" borderId="9" xfId="1" applyFont="1" applyFill="1" applyBorder="1" applyAlignment="1" applyProtection="1">
      <alignment horizontal="center" vertical="center"/>
      <protection hidden="1"/>
    </xf>
    <xf numFmtId="49" fontId="20" fillId="0" borderId="0" xfId="1" quotePrefix="1" applyNumberFormat="1" applyFont="1" applyProtection="1">
      <protection hidden="1"/>
    </xf>
    <xf numFmtId="49" fontId="21" fillId="0" borderId="0" xfId="1" quotePrefix="1" applyNumberFormat="1" applyFont="1" applyProtection="1">
      <protection hidden="1"/>
    </xf>
    <xf numFmtId="0" fontId="23" fillId="0" borderId="0" xfId="0" applyFont="1" applyBorder="1" applyAlignment="1" applyProtection="1">
      <alignment horizontal="right" vertical="top"/>
      <protection hidden="1"/>
    </xf>
    <xf numFmtId="0" fontId="17" fillId="0" borderId="0" xfId="0" applyFont="1" applyProtection="1">
      <protection hidden="1"/>
    </xf>
    <xf numFmtId="0" fontId="17" fillId="0" borderId="0" xfId="0" applyFont="1" applyFill="1" applyProtection="1">
      <protection locked="0"/>
    </xf>
    <xf numFmtId="0" fontId="12" fillId="0" borderId="0" xfId="0" applyFont="1" applyFill="1" applyProtection="1">
      <protection locked="0"/>
    </xf>
    <xf numFmtId="0" fontId="17" fillId="0" borderId="0" xfId="0" applyFont="1" applyAlignment="1" applyProtection="1">
      <protection hidden="1"/>
    </xf>
    <xf numFmtId="0" fontId="17" fillId="0" borderId="0" xfId="0" applyFont="1" applyAlignment="1" applyProtection="1">
      <alignment horizontal="center"/>
      <protection hidden="1"/>
    </xf>
    <xf numFmtId="49" fontId="17" fillId="0" borderId="8" xfId="0" applyNumberFormat="1" applyFont="1" applyBorder="1" applyAlignment="1" applyProtection="1">
      <alignment horizontal="center" vertical="center"/>
      <protection hidden="1"/>
    </xf>
    <xf numFmtId="49" fontId="17" fillId="0" borderId="8" xfId="0" applyNumberFormat="1" applyFont="1" applyBorder="1" applyAlignment="1" applyProtection="1">
      <alignment horizontal="center"/>
      <protection hidden="1"/>
    </xf>
    <xf numFmtId="0" fontId="17" fillId="0" borderId="8" xfId="0" applyFont="1" applyBorder="1" applyProtection="1">
      <protection hidden="1"/>
    </xf>
    <xf numFmtId="0" fontId="17" fillId="0" borderId="8" xfId="0" applyFont="1" applyBorder="1" applyAlignment="1" applyProtection="1">
      <alignment horizontal="right" vertical="top"/>
      <protection hidden="1"/>
    </xf>
    <xf numFmtId="164" fontId="17" fillId="0" borderId="9" xfId="0" applyNumberFormat="1" applyFont="1" applyBorder="1" applyAlignment="1" applyProtection="1">
      <alignment horizontal="right" vertical="center"/>
      <protection hidden="1"/>
    </xf>
    <xf numFmtId="0" fontId="17" fillId="0" borderId="9" xfId="0" applyFont="1" applyBorder="1" applyAlignment="1" applyProtection="1">
      <alignment horizontal="left"/>
      <protection hidden="1"/>
    </xf>
    <xf numFmtId="49" fontId="17" fillId="0" borderId="0" xfId="0" applyNumberFormat="1" applyFont="1" applyBorder="1" applyAlignment="1" applyProtection="1">
      <alignment horizontal="center" vertical="center"/>
      <protection hidden="1"/>
    </xf>
    <xf numFmtId="49" fontId="17" fillId="0" borderId="0" xfId="0" applyNumberFormat="1" applyFont="1" applyBorder="1" applyAlignment="1" applyProtection="1">
      <alignment horizontal="center"/>
      <protection hidden="1"/>
    </xf>
    <xf numFmtId="0" fontId="17" fillId="0" borderId="0" xfId="0" applyFont="1" applyBorder="1" applyProtection="1">
      <protection hidden="1"/>
    </xf>
    <xf numFmtId="0" fontId="17" fillId="0" borderId="0" xfId="0" applyFont="1" applyBorder="1" applyAlignment="1" applyProtection="1">
      <alignment horizontal="right" vertical="top"/>
      <protection hidden="1"/>
    </xf>
    <xf numFmtId="164" fontId="17" fillId="0" borderId="0" xfId="0" applyNumberFormat="1" applyFont="1" applyAlignment="1" applyProtection="1">
      <alignment horizontal="right" vertical="center"/>
      <protection hidden="1"/>
    </xf>
    <xf numFmtId="0" fontId="17" fillId="0" borderId="0" xfId="0" applyFont="1" applyAlignment="1" applyProtection="1">
      <alignment horizontal="left"/>
      <protection hidden="1"/>
    </xf>
    <xf numFmtId="0" fontId="17" fillId="0" borderId="0" xfId="0" applyFont="1" applyBorder="1" applyAlignment="1" applyProtection="1">
      <alignment horizontal="right"/>
      <protection hidden="1"/>
    </xf>
    <xf numFmtId="20" fontId="26" fillId="0" borderId="10" xfId="0" applyNumberFormat="1" applyFont="1" applyBorder="1" applyAlignment="1" applyProtection="1">
      <alignment horizontal="left"/>
      <protection hidden="1"/>
    </xf>
    <xf numFmtId="0" fontId="17" fillId="0" borderId="11" xfId="0" applyFont="1" applyBorder="1" applyAlignment="1" applyProtection="1">
      <alignment horizontal="center"/>
      <protection hidden="1"/>
    </xf>
    <xf numFmtId="0" fontId="17" fillId="0" borderId="11" xfId="0" applyFont="1" applyBorder="1" applyProtection="1">
      <protection hidden="1"/>
    </xf>
    <xf numFmtId="0" fontId="17" fillId="0" borderId="0" xfId="0" applyFont="1" applyBorder="1" applyAlignment="1" applyProtection="1">
      <alignment horizontal="right"/>
      <protection hidden="1"/>
    </xf>
    <xf numFmtId="0" fontId="17" fillId="0" borderId="10" xfId="0" applyFont="1" applyBorder="1" applyProtection="1">
      <protection hidden="1"/>
    </xf>
    <xf numFmtId="166" fontId="26" fillId="0" borderId="10" xfId="0" applyNumberFormat="1" applyFont="1" applyBorder="1" applyAlignment="1" applyProtection="1">
      <alignment horizontal="right"/>
      <protection hidden="1"/>
    </xf>
    <xf numFmtId="0" fontId="26" fillId="0" borderId="10" xfId="0" applyNumberFormat="1" applyFont="1" applyBorder="1" applyAlignment="1" applyProtection="1">
      <alignment horizontal="left"/>
      <protection hidden="1"/>
    </xf>
    <xf numFmtId="164" fontId="17" fillId="0" borderId="10" xfId="0" applyNumberFormat="1" applyFont="1" applyBorder="1" applyAlignment="1" applyProtection="1">
      <alignment horizontal="right" vertical="center"/>
      <protection hidden="1"/>
    </xf>
    <xf numFmtId="0" fontId="17" fillId="0" borderId="10" xfId="0" applyFont="1" applyBorder="1" applyAlignment="1" applyProtection="1">
      <alignment horizontal="left"/>
      <protection hidden="1"/>
    </xf>
    <xf numFmtId="0" fontId="17" fillId="0" borderId="0" xfId="0" applyFont="1" applyAlignment="1" applyProtection="1">
      <alignment horizontal="center" vertical="center"/>
      <protection hidden="1"/>
    </xf>
    <xf numFmtId="0" fontId="17" fillId="0" borderId="0" xfId="0" applyFont="1" applyBorder="1" applyAlignment="1" applyProtection="1">
      <alignment horizontal="left"/>
      <protection hidden="1"/>
    </xf>
    <xf numFmtId="0" fontId="17" fillId="0" borderId="0" xfId="0" applyFont="1" applyBorder="1" applyAlignment="1" applyProtection="1">
      <alignment horizontal="center"/>
      <protection hidden="1"/>
    </xf>
    <xf numFmtId="49" fontId="26" fillId="0" borderId="0" xfId="0" applyNumberFormat="1" applyFont="1" applyBorder="1" applyAlignment="1" applyProtection="1">
      <alignment horizontal="left"/>
      <protection hidden="1"/>
    </xf>
    <xf numFmtId="49" fontId="26" fillId="0" borderId="10" xfId="0" applyNumberFormat="1" applyFont="1" applyBorder="1" applyAlignment="1" applyProtection="1">
      <alignment horizontal="left"/>
      <protection hidden="1"/>
    </xf>
    <xf numFmtId="0" fontId="17" fillId="0" borderId="11" xfId="0" applyFont="1" applyBorder="1" applyAlignment="1" applyProtection="1">
      <protection hidden="1"/>
    </xf>
    <xf numFmtId="0" fontId="17" fillId="0" borderId="10" xfId="0" applyFont="1" applyBorder="1" applyAlignment="1" applyProtection="1">
      <alignment horizontal="right"/>
      <protection hidden="1"/>
    </xf>
    <xf numFmtId="0" fontId="21" fillId="0" borderId="13" xfId="0" applyFont="1" applyBorder="1" applyAlignment="1" applyProtection="1">
      <alignment horizontal="center" vertical="center" wrapText="1"/>
      <protection hidden="1"/>
    </xf>
    <xf numFmtId="0" fontId="21" fillId="0" borderId="35" xfId="0" applyFont="1" applyBorder="1" applyAlignment="1" applyProtection="1">
      <alignment horizontal="center" vertical="center" wrapText="1"/>
      <protection hidden="1"/>
    </xf>
    <xf numFmtId="0" fontId="21" fillId="0" borderId="16" xfId="0" applyFont="1" applyBorder="1" applyAlignment="1" applyProtection="1">
      <alignment horizontal="center" vertical="center" wrapText="1"/>
      <protection hidden="1"/>
    </xf>
    <xf numFmtId="0" fontId="21" fillId="0" borderId="17" xfId="0" applyFont="1" applyBorder="1" applyAlignment="1" applyProtection="1">
      <alignment horizontal="center" vertical="center"/>
      <protection hidden="1"/>
    </xf>
    <xf numFmtId="0" fontId="21" fillId="0" borderId="13" xfId="0" applyFont="1" applyBorder="1" applyAlignment="1" applyProtection="1">
      <alignment horizontal="center" vertical="center"/>
      <protection hidden="1"/>
    </xf>
    <xf numFmtId="0" fontId="17" fillId="0" borderId="42" xfId="0" applyFont="1" applyBorder="1" applyAlignment="1" applyProtection="1">
      <alignment horizontal="center" vertical="center"/>
      <protection hidden="1"/>
    </xf>
    <xf numFmtId="0" fontId="17" fillId="0" borderId="43" xfId="0" applyFont="1" applyBorder="1" applyAlignment="1" applyProtection="1">
      <alignment horizontal="center" vertical="center"/>
      <protection hidden="1"/>
    </xf>
    <xf numFmtId="0" fontId="17" fillId="0" borderId="41" xfId="0" applyFont="1" applyFill="1" applyBorder="1" applyAlignment="1" applyProtection="1">
      <alignment vertical="center"/>
      <protection locked="0"/>
    </xf>
    <xf numFmtId="0" fontId="12" fillId="0" borderId="0" xfId="0" applyNumberFormat="1" applyFont="1" applyFill="1" applyProtection="1">
      <protection locked="0"/>
    </xf>
    <xf numFmtId="0" fontId="21" fillId="0" borderId="33" xfId="0" applyFont="1" applyBorder="1" applyAlignment="1" applyProtection="1">
      <alignment horizontal="center" vertical="center" wrapText="1"/>
      <protection hidden="1"/>
    </xf>
    <xf numFmtId="0" fontId="21" fillId="0" borderId="15" xfId="0" applyFont="1" applyBorder="1" applyAlignment="1" applyProtection="1">
      <alignment horizontal="center" vertical="center"/>
      <protection hidden="1"/>
    </xf>
    <xf numFmtId="0" fontId="21" fillId="0" borderId="12" xfId="0" applyFont="1" applyBorder="1" applyAlignment="1" applyProtection="1">
      <alignment horizontal="center" vertical="center"/>
      <protection hidden="1"/>
    </xf>
    <xf numFmtId="0" fontId="17" fillId="0" borderId="44" xfId="0" applyFont="1" applyBorder="1" applyAlignment="1" applyProtection="1">
      <alignment horizontal="center" vertical="center"/>
      <protection hidden="1"/>
    </xf>
    <xf numFmtId="0" fontId="17" fillId="0" borderId="45" xfId="0" applyFont="1" applyBorder="1" applyAlignment="1" applyProtection="1">
      <alignment horizontal="center" vertical="center"/>
      <protection hidden="1"/>
    </xf>
    <xf numFmtId="0" fontId="28" fillId="0" borderId="0" xfId="0" applyNumberFormat="1" applyFont="1" applyFill="1" applyAlignment="1" applyProtection="1">
      <alignment horizontal="left"/>
      <protection hidden="1"/>
    </xf>
    <xf numFmtId="164" fontId="19" fillId="0" borderId="36" xfId="0" applyNumberFormat="1" applyFont="1" applyBorder="1" applyAlignment="1" applyProtection="1">
      <alignment horizontal="center" vertical="center" wrapText="1"/>
      <protection hidden="1"/>
    </xf>
    <xf numFmtId="164" fontId="19" fillId="0" borderId="37" xfId="0" applyNumberFormat="1" applyFont="1" applyBorder="1" applyAlignment="1" applyProtection="1">
      <alignment horizontal="center" vertical="center" wrapText="1"/>
      <protection hidden="1"/>
    </xf>
    <xf numFmtId="165" fontId="13" fillId="0" borderId="42" xfId="0" applyNumberFormat="1" applyFont="1" applyBorder="1" applyAlignment="1" applyProtection="1">
      <alignment horizontal="center" vertical="center"/>
      <protection locked="0" hidden="1"/>
    </xf>
    <xf numFmtId="165" fontId="13" fillId="0" borderId="43" xfId="0" applyNumberFormat="1" applyFont="1" applyBorder="1" applyAlignment="1" applyProtection="1">
      <alignment horizontal="center"/>
      <protection locked="0" hidden="1"/>
    </xf>
    <xf numFmtId="0" fontId="28" fillId="0" borderId="0" xfId="0" applyNumberFormat="1" applyFont="1" applyFill="1" applyProtection="1">
      <protection hidden="1"/>
    </xf>
    <xf numFmtId="0" fontId="21" fillId="0" borderId="34" xfId="0" applyFont="1" applyBorder="1" applyAlignment="1" applyProtection="1">
      <alignment horizontal="center" vertical="center" wrapText="1"/>
      <protection hidden="1"/>
    </xf>
    <xf numFmtId="165" fontId="13" fillId="0" borderId="44" xfId="0" applyNumberFormat="1" applyFont="1" applyBorder="1" applyAlignment="1" applyProtection="1">
      <alignment horizontal="center"/>
      <protection locked="0" hidden="1"/>
    </xf>
    <xf numFmtId="165" fontId="13" fillId="0" borderId="45" xfId="0" applyNumberFormat="1" applyFont="1" applyBorder="1" applyAlignment="1" applyProtection="1">
      <alignment horizontal="center"/>
      <protection locked="0" hidden="1"/>
    </xf>
    <xf numFmtId="0" fontId="17" fillId="0" borderId="13" xfId="0" applyFont="1" applyFill="1" applyBorder="1" applyAlignment="1" applyProtection="1">
      <alignment horizontal="center" vertical="center"/>
      <protection hidden="1"/>
    </xf>
    <xf numFmtId="14" fontId="29" fillId="6" borderId="3" xfId="0" applyNumberFormat="1" applyFont="1" applyFill="1" applyBorder="1" applyAlignment="1" applyProtection="1">
      <alignment horizontal="center" vertical="center"/>
      <protection hidden="1"/>
    </xf>
    <xf numFmtId="20" fontId="30" fillId="0" borderId="3" xfId="0" applyNumberFormat="1" applyFont="1" applyFill="1" applyBorder="1" applyAlignment="1" applyProtection="1">
      <alignment horizontal="center" vertical="center"/>
      <protection locked="0"/>
    </xf>
    <xf numFmtId="164" fontId="17" fillId="0" borderId="51" xfId="0" applyNumberFormat="1" applyFont="1" applyFill="1" applyBorder="1" applyAlignment="1" applyProtection="1">
      <alignment horizontal="center" vertical="center"/>
      <protection hidden="1"/>
    </xf>
    <xf numFmtId="164" fontId="17" fillId="0" borderId="17" xfId="0" applyNumberFormat="1" applyFont="1" applyFill="1" applyBorder="1" applyAlignment="1" applyProtection="1">
      <alignment horizontal="center" vertical="center"/>
      <protection hidden="1"/>
    </xf>
    <xf numFmtId="164" fontId="17" fillId="0" borderId="28" xfId="0" applyNumberFormat="1" applyFont="1" applyFill="1" applyBorder="1" applyAlignment="1" applyProtection="1">
      <alignment horizontal="center" vertical="center"/>
      <protection hidden="1"/>
    </xf>
    <xf numFmtId="164" fontId="30" fillId="0" borderId="7" xfId="0" applyNumberFormat="1" applyFont="1" applyFill="1" applyBorder="1" applyAlignment="1" applyProtection="1">
      <alignment horizontal="center"/>
      <protection hidden="1"/>
    </xf>
    <xf numFmtId="164" fontId="30" fillId="0" borderId="3" xfId="0" applyNumberFormat="1" applyFont="1" applyFill="1" applyBorder="1" applyAlignment="1" applyProtection="1">
      <alignment horizontal="center" vertical="center"/>
      <protection hidden="1"/>
    </xf>
    <xf numFmtId="164" fontId="31" fillId="0" borderId="4" xfId="0" applyNumberFormat="1" applyFont="1" applyFill="1" applyBorder="1" applyAlignment="1" applyProtection="1">
      <alignment horizontal="right"/>
      <protection hidden="1"/>
    </xf>
    <xf numFmtId="164" fontId="19" fillId="0" borderId="5" xfId="0" applyNumberFormat="1" applyFont="1" applyFill="1" applyBorder="1" applyAlignment="1" applyProtection="1">
      <alignment horizontal="left"/>
      <protection hidden="1"/>
    </xf>
    <xf numFmtId="20" fontId="12" fillId="0" borderId="0" xfId="0" applyNumberFormat="1" applyFont="1" applyFill="1" applyProtection="1">
      <protection locked="0"/>
    </xf>
    <xf numFmtId="164" fontId="31" fillId="0" borderId="6" xfId="0" applyNumberFormat="1" applyFont="1" applyFill="1" applyBorder="1" applyAlignment="1" applyProtection="1">
      <alignment horizontal="right"/>
      <protection hidden="1"/>
    </xf>
    <xf numFmtId="164" fontId="19" fillId="0" borderId="7" xfId="0" applyNumberFormat="1" applyFont="1" applyFill="1" applyBorder="1" applyAlignment="1" applyProtection="1">
      <alignment horizontal="left"/>
      <protection hidden="1"/>
    </xf>
    <xf numFmtId="0" fontId="17" fillId="2" borderId="13" xfId="0" applyFont="1" applyFill="1" applyBorder="1" applyAlignment="1" applyProtection="1">
      <alignment horizontal="center" vertical="center"/>
      <protection hidden="1"/>
    </xf>
    <xf numFmtId="164" fontId="12" fillId="0" borderId="0" xfId="0" applyNumberFormat="1" applyFont="1" applyFill="1" applyProtection="1">
      <protection locked="0"/>
    </xf>
    <xf numFmtId="164" fontId="17" fillId="0" borderId="79" xfId="0" applyNumberFormat="1" applyFont="1" applyFill="1" applyBorder="1" applyAlignment="1" applyProtection="1">
      <alignment horizontal="center" vertical="center"/>
      <protection hidden="1"/>
    </xf>
    <xf numFmtId="164" fontId="17" fillId="0" borderId="80" xfId="0" applyNumberFormat="1" applyFont="1" applyFill="1" applyBorder="1" applyAlignment="1" applyProtection="1">
      <alignment horizontal="center" vertical="center"/>
      <protection hidden="1"/>
    </xf>
    <xf numFmtId="164" fontId="31" fillId="3" borderId="6" xfId="0" applyNumberFormat="1" applyFont="1" applyFill="1" applyBorder="1" applyAlignment="1" applyProtection="1">
      <alignment horizontal="right"/>
      <protection hidden="1"/>
    </xf>
    <xf numFmtId="164" fontId="19" fillId="3" borderId="7" xfId="0" applyNumberFormat="1" applyFont="1" applyFill="1" applyBorder="1" applyAlignment="1" applyProtection="1">
      <alignment horizontal="left"/>
      <protection hidden="1"/>
    </xf>
    <xf numFmtId="49" fontId="12" fillId="0" borderId="0" xfId="0" applyNumberFormat="1" applyFont="1" applyFill="1" applyProtection="1">
      <protection locked="0"/>
    </xf>
    <xf numFmtId="0" fontId="19" fillId="4" borderId="6" xfId="0" applyFont="1" applyFill="1" applyBorder="1" applyAlignment="1" applyProtection="1">
      <alignment horizontal="left" vertical="center"/>
      <protection hidden="1"/>
    </xf>
    <xf numFmtId="20" fontId="17" fillId="4" borderId="14" xfId="0" applyNumberFormat="1" applyFont="1" applyFill="1" applyBorder="1" applyAlignment="1" applyProtection="1">
      <alignment horizontal="left" vertical="center"/>
      <protection hidden="1"/>
    </xf>
    <xf numFmtId="0" fontId="17" fillId="4" borderId="14" xfId="0" applyFont="1" applyFill="1" applyBorder="1" applyAlignment="1" applyProtection="1">
      <alignment horizontal="center"/>
      <protection hidden="1"/>
    </xf>
    <xf numFmtId="20" fontId="26" fillId="4" borderId="14" xfId="0" applyNumberFormat="1" applyFont="1" applyFill="1" applyBorder="1" applyAlignment="1" applyProtection="1">
      <alignment horizontal="left" vertical="center"/>
      <protection hidden="1"/>
    </xf>
    <xf numFmtId="20" fontId="26" fillId="4" borderId="64" xfId="0" applyNumberFormat="1" applyFont="1" applyFill="1" applyBorder="1" applyAlignment="1" applyProtection="1">
      <alignment horizontal="left" vertical="center"/>
      <protection hidden="1"/>
    </xf>
    <xf numFmtId="20" fontId="26" fillId="4" borderId="3" xfId="0" applyNumberFormat="1" applyFont="1" applyFill="1" applyBorder="1" applyAlignment="1" applyProtection="1">
      <alignment horizontal="center"/>
      <protection locked="0"/>
    </xf>
    <xf numFmtId="164" fontId="31" fillId="4" borderId="6" xfId="0" applyNumberFormat="1" applyFont="1" applyFill="1" applyBorder="1" applyAlignment="1" applyProtection="1">
      <alignment horizontal="right"/>
      <protection hidden="1"/>
    </xf>
    <xf numFmtId="164" fontId="19" fillId="4" borderId="7" xfId="0" applyNumberFormat="1" applyFont="1" applyFill="1" applyBorder="1" applyAlignment="1" applyProtection="1">
      <alignment horizontal="left"/>
      <protection hidden="1"/>
    </xf>
    <xf numFmtId="0" fontId="17" fillId="4" borderId="0" xfId="0" applyFont="1" applyFill="1" applyProtection="1">
      <protection hidden="1"/>
    </xf>
    <xf numFmtId="0" fontId="21" fillId="0" borderId="40" xfId="0" applyFont="1" applyBorder="1" applyAlignment="1" applyProtection="1">
      <alignment horizontal="left"/>
      <protection hidden="1"/>
    </xf>
    <xf numFmtId="164" fontId="30" fillId="0" borderId="48" xfId="0" applyNumberFormat="1" applyFont="1" applyBorder="1" applyAlignment="1" applyProtection="1">
      <alignment horizontal="center" vertical="center"/>
      <protection hidden="1"/>
    </xf>
    <xf numFmtId="164" fontId="30" fillId="0" borderId="38" xfId="0" applyNumberFormat="1" applyFont="1" applyBorder="1" applyAlignment="1" applyProtection="1">
      <alignment horizontal="center" vertical="center"/>
      <protection hidden="1"/>
    </xf>
    <xf numFmtId="164" fontId="19" fillId="0" borderId="46" xfId="0" applyNumberFormat="1" applyFont="1" applyBorder="1" applyAlignment="1" applyProtection="1">
      <alignment horizontal="right" vertical="center"/>
      <protection hidden="1"/>
    </xf>
    <xf numFmtId="164" fontId="19" fillId="0" borderId="48" xfId="0" applyNumberFormat="1" applyFont="1" applyBorder="1" applyAlignment="1" applyProtection="1">
      <alignment horizontal="left" vertical="center"/>
      <protection hidden="1"/>
    </xf>
    <xf numFmtId="0" fontId="17" fillId="0" borderId="0" xfId="0" applyFont="1" applyBorder="1" applyAlignment="1" applyProtection="1">
      <alignment horizontal="center"/>
      <protection hidden="1"/>
    </xf>
    <xf numFmtId="0" fontId="19" fillId="0" borderId="0" xfId="0" applyFont="1" applyAlignment="1" applyProtection="1">
      <alignment horizontal="right"/>
      <protection hidden="1"/>
    </xf>
    <xf numFmtId="164" fontId="17" fillId="0" borderId="49" xfId="0" applyNumberFormat="1" applyFont="1" applyBorder="1" applyAlignment="1" applyProtection="1">
      <alignment horizontal="center" vertical="center"/>
      <protection hidden="1"/>
    </xf>
    <xf numFmtId="164" fontId="17" fillId="0" borderId="39" xfId="0" applyNumberFormat="1" applyFont="1" applyBorder="1" applyAlignment="1" applyProtection="1">
      <alignment horizontal="center" vertical="center"/>
      <protection hidden="1"/>
    </xf>
    <xf numFmtId="0" fontId="19" fillId="0" borderId="47" xfId="0" applyFont="1" applyBorder="1" applyAlignment="1" applyProtection="1">
      <alignment horizontal="right" vertical="center"/>
      <protection hidden="1"/>
    </xf>
    <xf numFmtId="164" fontId="19" fillId="0" borderId="49" xfId="0" applyNumberFormat="1" applyFont="1" applyBorder="1" applyAlignment="1" applyProtection="1">
      <alignment horizontal="left" vertical="center"/>
      <protection hidden="1"/>
    </xf>
    <xf numFmtId="0" fontId="17" fillId="0" borderId="0" xfId="0" applyFont="1" applyAlignment="1" applyProtection="1">
      <alignment horizontal="right"/>
      <protection hidden="1"/>
    </xf>
    <xf numFmtId="164" fontId="26" fillId="0" borderId="48" xfId="0" applyNumberFormat="1" applyFont="1" applyBorder="1" applyAlignment="1" applyProtection="1">
      <alignment horizontal="center" vertical="center"/>
      <protection hidden="1"/>
    </xf>
    <xf numFmtId="164" fontId="26" fillId="0" borderId="38" xfId="0" applyNumberFormat="1" applyFont="1" applyBorder="1" applyAlignment="1" applyProtection="1">
      <alignment horizontal="center" vertical="center"/>
      <protection hidden="1"/>
    </xf>
    <xf numFmtId="0" fontId="17" fillId="0" borderId="0" xfId="0" applyFont="1" applyAlignment="1" applyProtection="1">
      <alignment vertical="center"/>
      <protection locked="0"/>
    </xf>
    <xf numFmtId="0" fontId="23" fillId="0" borderId="0" xfId="0" applyFont="1" applyBorder="1" applyAlignment="1" applyProtection="1">
      <alignment horizontal="left"/>
      <protection hidden="1"/>
    </xf>
    <xf numFmtId="0" fontId="23" fillId="0" borderId="0" xfId="0" applyFont="1" applyBorder="1" applyProtection="1">
      <protection hidden="1"/>
    </xf>
    <xf numFmtId="164" fontId="19" fillId="0" borderId="49" xfId="0" applyNumberFormat="1" applyFont="1" applyBorder="1" applyAlignment="1" applyProtection="1">
      <alignment horizontal="center" vertical="center"/>
      <protection hidden="1"/>
    </xf>
    <xf numFmtId="164" fontId="19" fillId="0" borderId="39" xfId="0" applyNumberFormat="1" applyFont="1" applyBorder="1" applyAlignment="1" applyProtection="1">
      <alignment horizontal="center" vertical="center"/>
      <protection hidden="1"/>
    </xf>
    <xf numFmtId="0" fontId="21" fillId="0" borderId="0" xfId="0" applyFont="1" applyBorder="1" applyAlignment="1" applyProtection="1">
      <alignment horizontal="left"/>
      <protection hidden="1"/>
    </xf>
    <xf numFmtId="0" fontId="17" fillId="0" borderId="0" xfId="0" applyFont="1" applyProtection="1">
      <protection locked="0"/>
    </xf>
    <xf numFmtId="0" fontId="12" fillId="0" borderId="0" xfId="0" applyNumberFormat="1" applyFont="1" applyBorder="1" applyAlignment="1" applyProtection="1">
      <alignment horizontal="left"/>
      <protection hidden="1"/>
    </xf>
    <xf numFmtId="20" fontId="12" fillId="0" borderId="0" xfId="0" applyNumberFormat="1" applyFont="1" applyBorder="1" applyAlignment="1" applyProtection="1">
      <alignment horizontal="center"/>
      <protection hidden="1"/>
    </xf>
    <xf numFmtId="0" fontId="12" fillId="0" borderId="0" xfId="0" applyFont="1" applyProtection="1">
      <protection hidden="1"/>
    </xf>
    <xf numFmtId="0" fontId="23" fillId="0" borderId="0" xfId="0" applyFont="1" applyBorder="1" applyProtection="1">
      <protection locked="0"/>
    </xf>
    <xf numFmtId="20" fontId="23" fillId="0" borderId="0" xfId="0" applyNumberFormat="1" applyFont="1" applyFill="1" applyBorder="1" applyAlignment="1" applyProtection="1">
      <alignment horizontal="center"/>
      <protection locked="0"/>
    </xf>
    <xf numFmtId="0" fontId="12" fillId="0" borderId="0" xfId="0" applyFont="1" applyAlignment="1" applyProtection="1">
      <alignment horizontal="left" vertical="center"/>
      <protection hidden="1"/>
    </xf>
    <xf numFmtId="0" fontId="12" fillId="0" borderId="0" xfId="0" applyFont="1" applyAlignment="1" applyProtection="1">
      <alignment horizontal="right" vertical="center"/>
      <protection hidden="1"/>
    </xf>
    <xf numFmtId="0" fontId="33" fillId="0" borderId="0" xfId="0" applyFont="1" applyBorder="1" applyAlignment="1" applyProtection="1">
      <alignment vertical="center" wrapText="1"/>
      <protection hidden="1"/>
    </xf>
    <xf numFmtId="20" fontId="23" fillId="0" borderId="0" xfId="0" applyNumberFormat="1" applyFont="1" applyAlignment="1" applyProtection="1">
      <alignment horizontal="center"/>
      <protection hidden="1"/>
    </xf>
    <xf numFmtId="0" fontId="12" fillId="0" borderId="0" xfId="0" applyFont="1" applyBorder="1" applyAlignment="1" applyProtection="1">
      <protection hidden="1"/>
    </xf>
    <xf numFmtId="0" fontId="34" fillId="7" borderId="0" xfId="0" applyFont="1" applyFill="1" applyBorder="1" applyAlignment="1" applyProtection="1">
      <alignment horizontal="center" vertical="center"/>
      <protection hidden="1"/>
    </xf>
    <xf numFmtId="49" fontId="9" fillId="7" borderId="0" xfId="0" applyNumberFormat="1" applyFont="1" applyFill="1" applyBorder="1" applyAlignment="1" applyProtection="1">
      <alignment horizontal="center"/>
      <protection hidden="1"/>
    </xf>
    <xf numFmtId="0" fontId="35" fillId="7" borderId="0" xfId="0" applyFont="1" applyFill="1" applyBorder="1" applyAlignment="1" applyProtection="1">
      <alignment horizontal="center" vertical="center"/>
      <protection hidden="1"/>
    </xf>
    <xf numFmtId="164" fontId="31" fillId="6" borderId="6" xfId="0" applyNumberFormat="1" applyFont="1" applyFill="1" applyBorder="1" applyAlignment="1" applyProtection="1">
      <alignment horizontal="right"/>
      <protection hidden="1"/>
    </xf>
    <xf numFmtId="164" fontId="19" fillId="6" borderId="7" xfId="0" applyNumberFormat="1" applyFont="1" applyFill="1" applyBorder="1" applyAlignment="1" applyProtection="1">
      <alignment horizontal="left"/>
      <protection hidden="1"/>
    </xf>
    <xf numFmtId="0" fontId="10" fillId="8" borderId="30" xfId="0" applyFont="1" applyFill="1" applyBorder="1" applyAlignment="1" applyProtection="1">
      <alignment horizontal="center" vertical="center" wrapText="1"/>
      <protection hidden="1"/>
    </xf>
    <xf numFmtId="0" fontId="10" fillId="8" borderId="10" xfId="0" applyFont="1" applyFill="1" applyBorder="1" applyAlignment="1" applyProtection="1">
      <alignment horizontal="center" vertical="center" wrapText="1"/>
      <protection hidden="1"/>
    </xf>
    <xf numFmtId="0" fontId="10" fillId="8" borderId="0" xfId="0" applyFont="1" applyFill="1" applyAlignment="1" applyProtection="1">
      <alignment horizontal="center" wrapText="1"/>
      <protection hidden="1"/>
    </xf>
    <xf numFmtId="0" fontId="32" fillId="8" borderId="63" xfId="0" applyFont="1" applyFill="1" applyBorder="1" applyAlignment="1" applyProtection="1">
      <alignment vertical="center" wrapText="1"/>
      <protection hidden="1"/>
    </xf>
    <xf numFmtId="0" fontId="32" fillId="8" borderId="59" xfId="0" applyFont="1" applyFill="1" applyBorder="1" applyAlignment="1" applyProtection="1">
      <alignment vertical="center" wrapText="1"/>
      <protection hidden="1"/>
    </xf>
    <xf numFmtId="0" fontId="32" fillId="8" borderId="17" xfId="0" applyFont="1" applyFill="1" applyBorder="1" applyAlignment="1" applyProtection="1">
      <alignment vertical="center" wrapText="1"/>
      <protection hidden="1"/>
    </xf>
    <xf numFmtId="0" fontId="32" fillId="8" borderId="60" xfId="0" applyFont="1" applyFill="1" applyBorder="1" applyAlignment="1" applyProtection="1">
      <alignment vertical="center" wrapText="1"/>
      <protection hidden="1"/>
    </xf>
    <xf numFmtId="0" fontId="32" fillId="8" borderId="61" xfId="0" applyFont="1" applyFill="1" applyBorder="1" applyAlignment="1" applyProtection="1">
      <alignment vertical="center" wrapText="1"/>
      <protection hidden="1"/>
    </xf>
    <xf numFmtId="0" fontId="32" fillId="8" borderId="62" xfId="0" applyFont="1" applyFill="1" applyBorder="1" applyAlignment="1" applyProtection="1">
      <alignment vertical="center" wrapText="1"/>
      <protection hidden="1"/>
    </xf>
    <xf numFmtId="0" fontId="10" fillId="8" borderId="0" xfId="0" applyFont="1" applyFill="1" applyBorder="1" applyAlignment="1" applyProtection="1">
      <alignment horizontal="center" vertical="center" wrapText="1"/>
      <protection hidden="1"/>
    </xf>
    <xf numFmtId="0" fontId="17" fillId="0" borderId="31" xfId="0" applyFont="1" applyBorder="1" applyProtection="1">
      <protection hidden="1"/>
    </xf>
    <xf numFmtId="0" fontId="21" fillId="0" borderId="12" xfId="0" applyFont="1" applyBorder="1" applyAlignment="1" applyProtection="1">
      <alignment horizontal="center" vertical="center" wrapText="1"/>
      <protection hidden="1"/>
    </xf>
    <xf numFmtId="0" fontId="21" fillId="0" borderId="71" xfId="0" applyFont="1" applyBorder="1" applyAlignment="1" applyProtection="1">
      <alignment horizontal="center" vertical="center" wrapText="1"/>
      <protection hidden="1"/>
    </xf>
    <xf numFmtId="0" fontId="21" fillId="0" borderId="72" xfId="0" applyFont="1" applyBorder="1" applyAlignment="1" applyProtection="1">
      <alignment horizontal="center" vertical="center" wrapText="1"/>
      <protection hidden="1"/>
    </xf>
    <xf numFmtId="0" fontId="21" fillId="0" borderId="69" xfId="0" applyFont="1" applyBorder="1" applyAlignment="1" applyProtection="1">
      <alignment horizontal="center" vertical="center" wrapText="1"/>
      <protection hidden="1"/>
    </xf>
    <xf numFmtId="0" fontId="21" fillId="0" borderId="35" xfId="0" applyFont="1" applyBorder="1" applyAlignment="1" applyProtection="1">
      <alignment horizontal="center" vertical="center"/>
      <protection hidden="1"/>
    </xf>
    <xf numFmtId="0" fontId="21" fillId="0" borderId="78" xfId="0" applyFont="1" applyBorder="1" applyAlignment="1" applyProtection="1">
      <alignment horizontal="center" vertical="center"/>
      <protection hidden="1"/>
    </xf>
    <xf numFmtId="0" fontId="21" fillId="0" borderId="52" xfId="0" applyFont="1" applyBorder="1" applyAlignment="1" applyProtection="1">
      <alignment horizontal="center" vertical="center" wrapText="1"/>
      <protection hidden="1"/>
    </xf>
    <xf numFmtId="0" fontId="21" fillId="0" borderId="73" xfId="0" applyFont="1" applyBorder="1" applyAlignment="1" applyProtection="1">
      <alignment horizontal="center" vertical="center" wrapText="1"/>
      <protection hidden="1"/>
    </xf>
    <xf numFmtId="0" fontId="21" fillId="0" borderId="19" xfId="0" applyFont="1" applyBorder="1" applyAlignment="1" applyProtection="1">
      <alignment horizontal="center" vertical="center" wrapText="1"/>
      <protection hidden="1"/>
    </xf>
    <xf numFmtId="0" fontId="21" fillId="0" borderId="18" xfId="0" applyFont="1" applyBorder="1" applyAlignment="1" applyProtection="1">
      <alignment horizontal="center" vertical="center" wrapText="1"/>
      <protection hidden="1"/>
    </xf>
    <xf numFmtId="0" fontId="13" fillId="0" borderId="0" xfId="0" applyNumberFormat="1" applyFont="1" applyFill="1" applyAlignment="1" applyProtection="1">
      <alignment horizontal="left"/>
      <protection hidden="1"/>
    </xf>
    <xf numFmtId="164" fontId="19" fillId="0" borderId="57" xfId="0" applyNumberFormat="1" applyFont="1" applyBorder="1" applyAlignment="1" applyProtection="1">
      <alignment horizontal="center" vertical="center" wrapText="1"/>
      <protection hidden="1"/>
    </xf>
    <xf numFmtId="164" fontId="19" fillId="0" borderId="76" xfId="0" applyNumberFormat="1" applyFont="1" applyBorder="1" applyAlignment="1" applyProtection="1">
      <alignment horizontal="center" vertical="center" wrapText="1"/>
      <protection hidden="1"/>
    </xf>
    <xf numFmtId="165" fontId="13" fillId="0" borderId="43" xfId="0" applyNumberFormat="1" applyFont="1" applyBorder="1" applyAlignment="1" applyProtection="1">
      <alignment horizontal="center" vertical="center"/>
      <protection locked="0" hidden="1"/>
    </xf>
    <xf numFmtId="0" fontId="19" fillId="0" borderId="0" xfId="0" applyNumberFormat="1" applyFont="1" applyFill="1" applyProtection="1">
      <protection hidden="1"/>
    </xf>
    <xf numFmtId="0" fontId="21" fillId="0" borderId="50" xfId="0" applyFont="1" applyBorder="1" applyAlignment="1" applyProtection="1">
      <alignment horizontal="center" vertical="center" wrapText="1"/>
      <protection hidden="1"/>
    </xf>
    <xf numFmtId="0" fontId="21" fillId="0" borderId="53" xfId="0" applyFont="1" applyBorder="1" applyAlignment="1" applyProtection="1">
      <alignment horizontal="center" vertical="center" wrapText="1"/>
      <protection hidden="1"/>
    </xf>
    <xf numFmtId="0" fontId="21" fillId="0" borderId="74" xfId="0" applyFont="1" applyBorder="1" applyAlignment="1" applyProtection="1">
      <alignment horizontal="center" vertical="center" wrapText="1"/>
      <protection hidden="1"/>
    </xf>
    <xf numFmtId="0" fontId="21" fillId="0" borderId="75" xfId="0" applyFont="1" applyBorder="1" applyAlignment="1" applyProtection="1">
      <alignment horizontal="center" vertical="center" wrapText="1"/>
      <protection hidden="1"/>
    </xf>
    <xf numFmtId="0" fontId="21" fillId="0" borderId="70" xfId="0" applyFont="1" applyBorder="1" applyAlignment="1" applyProtection="1">
      <alignment horizontal="center" vertical="center" wrapText="1"/>
      <protection hidden="1"/>
    </xf>
    <xf numFmtId="164" fontId="19" fillId="0" borderId="58" xfId="0" applyNumberFormat="1" applyFont="1" applyBorder="1" applyAlignment="1" applyProtection="1">
      <alignment horizontal="center" vertical="center" wrapText="1"/>
      <protection hidden="1"/>
    </xf>
    <xf numFmtId="164" fontId="19" fillId="0" borderId="77" xfId="0" applyNumberFormat="1" applyFont="1" applyBorder="1" applyAlignment="1" applyProtection="1">
      <alignment horizontal="center" vertical="center" wrapText="1"/>
      <protection hidden="1"/>
    </xf>
    <xf numFmtId="165" fontId="13" fillId="0" borderId="44" xfId="0" applyNumberFormat="1" applyFont="1" applyBorder="1" applyAlignment="1" applyProtection="1">
      <alignment horizontal="center" vertical="center"/>
      <protection locked="0" hidden="1"/>
    </xf>
    <xf numFmtId="165" fontId="13" fillId="0" borderId="45" xfId="0" applyNumberFormat="1" applyFont="1" applyBorder="1" applyAlignment="1" applyProtection="1">
      <alignment horizontal="center" vertical="center"/>
      <protection locked="0" hidden="1"/>
    </xf>
    <xf numFmtId="164" fontId="31" fillId="3" borderId="4" xfId="0" applyNumberFormat="1" applyFont="1" applyFill="1" applyBorder="1" applyAlignment="1" applyProtection="1">
      <alignment horizontal="right"/>
      <protection hidden="1"/>
    </xf>
    <xf numFmtId="20" fontId="17" fillId="4" borderId="10" xfId="0" applyNumberFormat="1" applyFont="1" applyFill="1" applyBorder="1" applyAlignment="1" applyProtection="1">
      <alignment horizontal="left" vertical="center"/>
      <protection hidden="1"/>
    </xf>
    <xf numFmtId="0" fontId="17" fillId="4" borderId="10" xfId="0" applyFont="1" applyFill="1" applyBorder="1" applyAlignment="1" applyProtection="1">
      <alignment horizontal="center"/>
      <protection hidden="1"/>
    </xf>
    <xf numFmtId="20" fontId="26" fillId="4" borderId="10" xfId="0" applyNumberFormat="1" applyFont="1" applyFill="1" applyBorder="1" applyAlignment="1" applyProtection="1">
      <alignment horizontal="left" vertical="center"/>
      <protection hidden="1"/>
    </xf>
    <xf numFmtId="20" fontId="26" fillId="4" borderId="6" xfId="0" applyNumberFormat="1" applyFont="1" applyFill="1" applyBorder="1" applyAlignment="1" applyProtection="1">
      <alignment horizontal="center" vertical="center"/>
      <protection locked="0"/>
    </xf>
    <xf numFmtId="20" fontId="26" fillId="4" borderId="3" xfId="0" applyNumberFormat="1" applyFont="1" applyFill="1" applyBorder="1" applyAlignment="1" applyProtection="1">
      <alignment horizontal="center" vertical="center"/>
      <protection locked="0"/>
    </xf>
    <xf numFmtId="164" fontId="31" fillId="4" borderId="6" xfId="0" applyNumberFormat="1" applyFont="1" applyFill="1" applyBorder="1" applyAlignment="1" applyProtection="1">
      <alignment horizontal="right" vertical="center"/>
      <protection hidden="1"/>
    </xf>
    <xf numFmtId="164" fontId="19" fillId="4" borderId="7" xfId="0" applyNumberFormat="1" applyFont="1" applyFill="1" applyBorder="1" applyAlignment="1" applyProtection="1">
      <alignment horizontal="left" vertical="center"/>
      <protection hidden="1"/>
    </xf>
    <xf numFmtId="0" fontId="21" fillId="0" borderId="30" xfId="0" applyFont="1" applyBorder="1" applyAlignment="1" applyProtection="1">
      <alignment horizontal="left"/>
      <protection hidden="1"/>
    </xf>
    <xf numFmtId="164" fontId="30" fillId="0" borderId="39" xfId="0" applyNumberFormat="1" applyFont="1" applyBorder="1" applyAlignment="1" applyProtection="1">
      <alignment horizontal="center" vertical="center"/>
      <protection hidden="1"/>
    </xf>
    <xf numFmtId="164" fontId="19" fillId="0" borderId="47" xfId="0" applyNumberFormat="1" applyFont="1" applyBorder="1" applyAlignment="1" applyProtection="1">
      <alignment horizontal="right" vertical="center"/>
      <protection hidden="1"/>
    </xf>
    <xf numFmtId="164" fontId="26" fillId="0" borderId="46" xfId="0" applyNumberFormat="1" applyFont="1" applyBorder="1" applyAlignment="1" applyProtection="1">
      <alignment horizontal="center" vertical="center"/>
      <protection locked="0"/>
    </xf>
    <xf numFmtId="164" fontId="26" fillId="0" borderId="31" xfId="0" applyNumberFormat="1" applyFont="1" applyBorder="1" applyAlignment="1" applyProtection="1">
      <alignment horizontal="center" vertical="center"/>
      <protection locked="0"/>
    </xf>
    <xf numFmtId="164" fontId="26" fillId="0" borderId="39" xfId="0" applyNumberFormat="1" applyFont="1" applyBorder="1" applyAlignment="1" applyProtection="1">
      <alignment horizontal="center" vertical="center"/>
      <protection hidden="1"/>
    </xf>
    <xf numFmtId="164" fontId="26" fillId="0" borderId="55" xfId="0" applyNumberFormat="1" applyFont="1" applyBorder="1" applyAlignment="1" applyProtection="1">
      <alignment horizontal="center" vertical="center"/>
      <protection locked="0"/>
    </xf>
    <xf numFmtId="164" fontId="26" fillId="0" borderId="0" xfId="0" applyNumberFormat="1" applyFont="1" applyBorder="1" applyAlignment="1" applyProtection="1">
      <alignment horizontal="center" vertical="center"/>
      <protection locked="0"/>
    </xf>
    <xf numFmtId="49" fontId="12" fillId="0" borderId="0" xfId="0" applyNumberFormat="1" applyFont="1" applyBorder="1" applyProtection="1">
      <protection hidden="1"/>
    </xf>
    <xf numFmtId="0" fontId="32" fillId="8" borderId="46" xfId="0" applyFont="1" applyFill="1" applyBorder="1" applyAlignment="1" applyProtection="1">
      <alignment vertical="center" wrapText="1"/>
      <protection hidden="1"/>
    </xf>
    <xf numFmtId="0" fontId="32" fillId="8" borderId="48" xfId="0" applyFont="1" applyFill="1" applyBorder="1" applyAlignment="1" applyProtection="1">
      <alignment vertical="center" wrapText="1"/>
      <protection hidden="1"/>
    </xf>
    <xf numFmtId="0" fontId="32" fillId="8" borderId="55" xfId="0" applyFont="1" applyFill="1" applyBorder="1" applyAlignment="1" applyProtection="1">
      <alignment vertical="center" wrapText="1"/>
      <protection hidden="1"/>
    </xf>
    <xf numFmtId="0" fontId="32" fillId="8" borderId="68" xfId="0" applyFont="1" applyFill="1" applyBorder="1" applyAlignment="1" applyProtection="1">
      <alignment vertical="center" wrapText="1"/>
      <protection hidden="1"/>
    </xf>
    <xf numFmtId="49" fontId="12" fillId="0" borderId="0" xfId="0" applyNumberFormat="1" applyFont="1" applyBorder="1" applyAlignment="1" applyProtection="1">
      <alignment vertical="center"/>
      <protection hidden="1"/>
    </xf>
    <xf numFmtId="0" fontId="12" fillId="0" borderId="0" xfId="0" applyFont="1" applyAlignment="1" applyProtection="1">
      <alignment vertical="center"/>
      <protection hidden="1"/>
    </xf>
    <xf numFmtId="0" fontId="32" fillId="8" borderId="47" xfId="0" applyFont="1" applyFill="1" applyBorder="1" applyAlignment="1" applyProtection="1">
      <alignment vertical="center" wrapText="1"/>
      <protection hidden="1"/>
    </xf>
    <xf numFmtId="0" fontId="32" fillId="8" borderId="49" xfId="0" applyFont="1" applyFill="1" applyBorder="1" applyAlignment="1" applyProtection="1">
      <alignment vertical="center" wrapText="1"/>
      <protection hidden="1"/>
    </xf>
    <xf numFmtId="20" fontId="36" fillId="0" borderId="38" xfId="0" applyNumberFormat="1" applyFont="1" applyBorder="1" applyAlignment="1" applyProtection="1">
      <alignment horizontal="center"/>
      <protection hidden="1"/>
    </xf>
    <xf numFmtId="20" fontId="36" fillId="0" borderId="54" xfId="0" applyNumberFormat="1" applyFont="1" applyBorder="1" applyAlignment="1" applyProtection="1">
      <alignment horizontal="center"/>
      <protection hidden="1"/>
    </xf>
    <xf numFmtId="20" fontId="36" fillId="0" borderId="54" xfId="0" applyNumberFormat="1" applyFont="1" applyBorder="1" applyAlignment="1" applyProtection="1">
      <alignment horizontal="center"/>
      <protection locked="0"/>
    </xf>
    <xf numFmtId="20" fontId="36" fillId="0" borderId="39" xfId="0" applyNumberFormat="1" applyFont="1" applyBorder="1" applyAlignment="1" applyProtection="1">
      <alignment horizontal="center"/>
      <protection locked="0"/>
    </xf>
    <xf numFmtId="164" fontId="37" fillId="0" borderId="20" xfId="1" applyNumberFormat="1" applyFont="1" applyBorder="1" applyAlignment="1" applyProtection="1">
      <alignment horizontal="center" vertical="center"/>
      <protection hidden="1"/>
    </xf>
    <xf numFmtId="0" fontId="19" fillId="0" borderId="0" xfId="0" applyNumberFormat="1" applyFont="1" applyFill="1" applyAlignment="1" applyProtection="1">
      <alignment horizontal="left"/>
      <protection locked="0"/>
    </xf>
    <xf numFmtId="0" fontId="19" fillId="0" borderId="0" xfId="0" applyFont="1" applyFill="1" applyAlignment="1" applyProtection="1">
      <alignment horizontal="left"/>
      <protection locked="0"/>
    </xf>
    <xf numFmtId="164" fontId="38" fillId="0" borderId="20" xfId="1" applyNumberFormat="1" applyFont="1" applyBorder="1" applyAlignment="1" applyProtection="1">
      <alignment horizontal="center" vertical="center"/>
      <protection hidden="1"/>
    </xf>
    <xf numFmtId="0" fontId="28" fillId="0" borderId="0" xfId="0" applyFont="1" applyFill="1" applyAlignment="1" applyProtection="1">
      <alignment horizontal="left"/>
      <protection locked="0"/>
    </xf>
    <xf numFmtId="0" fontId="19" fillId="0" borderId="30" xfId="0" applyFont="1" applyFill="1" applyBorder="1" applyAlignment="1" applyProtection="1">
      <alignment vertical="center" wrapText="1"/>
      <protection hidden="1"/>
    </xf>
    <xf numFmtId="0" fontId="19" fillId="0" borderId="10" xfId="0" applyFont="1" applyFill="1" applyBorder="1" applyAlignment="1" applyProtection="1">
      <alignment vertical="center" wrapText="1"/>
      <protection hidden="1"/>
    </xf>
    <xf numFmtId="0" fontId="17" fillId="0" borderId="0" xfId="0" applyFont="1" applyFill="1" applyProtection="1">
      <protection hidden="1"/>
    </xf>
    <xf numFmtId="0" fontId="28" fillId="0" borderId="18" xfId="0" applyFont="1" applyFill="1" applyBorder="1" applyAlignment="1" applyProtection="1">
      <alignment horizontal="left"/>
      <protection locked="0"/>
    </xf>
    <xf numFmtId="0" fontId="12" fillId="0" borderId="0" xfId="0" applyFont="1" applyFill="1" applyBorder="1" applyProtection="1">
      <protection locked="0"/>
    </xf>
    <xf numFmtId="0" fontId="12" fillId="0" borderId="0" xfId="0" applyFont="1" applyFill="1" applyAlignment="1" applyProtection="1">
      <alignment horizontal="left"/>
      <protection locked="0"/>
    </xf>
    <xf numFmtId="0" fontId="35" fillId="5" borderId="0" xfId="0" applyFont="1" applyFill="1" applyBorder="1" applyAlignment="1" applyProtection="1">
      <alignment horizontal="center" vertical="center"/>
      <protection hidden="1"/>
    </xf>
    <xf numFmtId="0" fontId="7" fillId="7" borderId="5" xfId="0" applyFont="1" applyFill="1" applyBorder="1" applyProtection="1">
      <protection hidden="1"/>
    </xf>
    <xf numFmtId="0" fontId="7" fillId="7" borderId="4" xfId="0" applyFont="1" applyFill="1" applyBorder="1" applyProtection="1">
      <protection hidden="1"/>
    </xf>
    <xf numFmtId="0" fontId="8" fillId="0" borderId="0" xfId="0" applyFont="1" applyProtection="1">
      <protection hidden="1"/>
    </xf>
    <xf numFmtId="0" fontId="7" fillId="7" borderId="0" xfId="0" applyFont="1" applyFill="1" applyProtection="1">
      <protection hidden="1"/>
    </xf>
    <xf numFmtId="0" fontId="30" fillId="0" borderId="7" xfId="0" applyFont="1" applyFill="1" applyBorder="1" applyProtection="1">
      <protection hidden="1"/>
    </xf>
    <xf numFmtId="0" fontId="30" fillId="0" borderId="6" xfId="0" applyFont="1" applyBorder="1" applyProtection="1">
      <protection hidden="1"/>
    </xf>
    <xf numFmtId="0" fontId="17" fillId="0" borderId="7" xfId="0" applyFont="1" applyFill="1" applyBorder="1" applyProtection="1">
      <protection hidden="1"/>
    </xf>
    <xf numFmtId="0" fontId="17" fillId="0" borderId="6" xfId="0" applyFont="1" applyFill="1" applyBorder="1" applyProtection="1">
      <protection hidden="1"/>
    </xf>
    <xf numFmtId="0" fontId="17" fillId="0" borderId="6" xfId="0" applyFont="1" applyBorder="1" applyProtection="1">
      <protection hidden="1"/>
    </xf>
    <xf numFmtId="0" fontId="19" fillId="0" borderId="0" xfId="0" applyFont="1" applyFill="1" applyProtection="1">
      <protection hidden="1"/>
    </xf>
    <xf numFmtId="0" fontId="19" fillId="0" borderId="64" xfId="0" applyFont="1" applyFill="1" applyBorder="1" applyProtection="1">
      <protection hidden="1"/>
    </xf>
    <xf numFmtId="0" fontId="17" fillId="0" borderId="69" xfId="0" applyFont="1" applyBorder="1" applyProtection="1">
      <protection hidden="1"/>
    </xf>
    <xf numFmtId="0" fontId="0" fillId="0" borderId="0" xfId="0" applyNumberFormat="1" applyProtection="1">
      <protection hidden="1"/>
    </xf>
  </cellXfs>
  <cellStyles count="2">
    <cellStyle name="Normal" xfId="0" builtinId="0"/>
    <cellStyle name="Standard 2" xfId="1" xr:uid="{00000000-0005-0000-0000-000001000000}"/>
  </cellStyles>
  <dxfs count="295">
    <dxf>
      <font>
        <strike val="0"/>
        <outline val="0"/>
        <shadow val="0"/>
        <u val="none"/>
        <vertAlign val="baseline"/>
        <sz val="10"/>
        <color theme="6"/>
        <name val="Arial"/>
        <scheme val="none"/>
      </font>
      <fill>
        <patternFill patternType="none">
          <fgColor indexed="64"/>
          <bgColor auto="1"/>
        </patternFill>
      </fill>
      <protection locked="1" hidden="1"/>
    </dxf>
    <dxf>
      <font>
        <strike val="0"/>
        <outline val="0"/>
        <shadow val="0"/>
        <u val="none"/>
        <vertAlign val="baseline"/>
        <sz val="10"/>
        <color theme="0"/>
        <name val="Arial"/>
        <family val="2"/>
        <scheme val="none"/>
      </font>
      <fill>
        <patternFill patternType="solid">
          <fgColor indexed="64"/>
          <bgColor theme="4"/>
        </patternFill>
      </fill>
      <protection locked="1" hidden="1"/>
    </dxf>
    <dxf>
      <font>
        <strike val="0"/>
        <outline val="0"/>
        <shadow val="0"/>
        <u val="none"/>
        <vertAlign val="baseline"/>
        <sz val="10"/>
        <color theme="6"/>
        <name val="Arial"/>
        <scheme val="none"/>
      </font>
      <fill>
        <patternFill patternType="none">
          <fgColor indexed="64"/>
          <bgColor auto="1"/>
        </patternFill>
      </fill>
      <protection locked="1" hidden="1"/>
    </dxf>
    <dxf>
      <font>
        <strike val="0"/>
        <outline val="0"/>
        <shadow val="0"/>
        <u val="none"/>
        <vertAlign val="baseline"/>
        <sz val="10"/>
        <color theme="6"/>
        <name val="Arial"/>
        <scheme val="none"/>
      </font>
      <fill>
        <patternFill patternType="none">
          <fgColor indexed="64"/>
          <bgColor auto="1"/>
        </patternFill>
      </fill>
      <protection locked="1" hidden="1"/>
    </dxf>
    <dxf>
      <font>
        <strike val="0"/>
        <outline val="0"/>
        <shadow val="0"/>
        <u val="none"/>
        <vertAlign val="baseline"/>
        <sz val="10"/>
        <color theme="6"/>
        <name val="Arial"/>
        <scheme val="none"/>
      </font>
      <protection locked="1" hidden="1"/>
    </dxf>
    <dxf>
      <font>
        <strike val="0"/>
        <outline val="0"/>
        <shadow val="0"/>
        <u val="none"/>
        <vertAlign val="baseline"/>
        <sz val="10"/>
        <color theme="0"/>
        <name val="Arial"/>
        <family val="2"/>
        <scheme val="none"/>
      </font>
      <fill>
        <patternFill patternType="solid">
          <fgColor indexed="64"/>
          <bgColor theme="4"/>
        </patternFill>
      </fill>
      <border diagonalUp="0" diagonalDown="0">
        <left style="thin">
          <color indexed="64"/>
        </left>
        <right style="thin">
          <color indexed="64"/>
        </right>
        <top/>
        <bottom/>
      </border>
      <protection locked="1" hidden="1"/>
    </dxf>
    <dxf>
      <font>
        <strike val="0"/>
        <outline val="0"/>
        <shadow val="0"/>
        <u val="none"/>
        <vertAlign val="baseline"/>
        <sz val="10"/>
        <color theme="6"/>
        <name val="Arial"/>
        <scheme val="none"/>
      </font>
      <border diagonalUp="0" diagonalDown="0">
        <left style="thin">
          <color indexed="64"/>
        </left>
        <right/>
        <top style="thin">
          <color indexed="64"/>
        </top>
        <bottom style="thin">
          <color indexed="64"/>
        </bottom>
      </border>
      <protection locked="1" hidden="1"/>
    </dxf>
    <dxf>
      <font>
        <strike val="0"/>
        <outline val="0"/>
        <shadow val="0"/>
        <u val="none"/>
        <vertAlign val="baseline"/>
        <sz val="10"/>
        <color theme="6"/>
        <name val="Arial"/>
        <scheme val="none"/>
      </font>
      <fill>
        <patternFill patternType="none">
          <fgColor indexed="64"/>
          <bgColor auto="1"/>
        </patternFill>
      </fill>
      <border diagonalUp="0" diagonalDown="0">
        <left/>
        <right style="thin">
          <color indexed="64"/>
        </right>
        <top style="thin">
          <color indexed="64"/>
        </top>
        <bottom style="thin">
          <color indexed="64"/>
        </bottom>
      </border>
      <protection locked="1" hidden="1"/>
    </dxf>
    <dxf>
      <font>
        <color theme="4" tint="0.79998168889431442"/>
      </font>
      <fill>
        <patternFill>
          <bgColor theme="4" tint="0.79998168889431442"/>
        </patternFill>
      </fill>
    </dxf>
    <dxf>
      <fill>
        <patternFill patternType="solid">
          <bgColor theme="4" tint="0.79998168889431442"/>
        </patternFill>
      </fill>
    </dxf>
    <dxf>
      <fill>
        <patternFill>
          <bgColor theme="4" tint="0.79998168889431442"/>
        </patternFill>
      </fill>
    </dxf>
    <dxf>
      <font>
        <color theme="4" tint="0.79998168889431442"/>
      </font>
    </dxf>
    <dxf>
      <font>
        <b val="0"/>
        <i val="0"/>
        <color theme="1"/>
      </font>
    </dxf>
    <dxf>
      <fill>
        <patternFill>
          <bgColor rgb="FFFF0000"/>
        </patternFill>
      </fill>
    </dxf>
    <dxf>
      <fill>
        <patternFill>
          <bgColor rgb="FFFF0000"/>
        </patternFill>
      </fill>
    </dxf>
    <dxf>
      <font>
        <color theme="0"/>
      </font>
    </dxf>
    <dxf>
      <font>
        <b val="0"/>
        <i val="0"/>
        <color theme="1"/>
      </font>
    </dxf>
    <dxf>
      <font>
        <b/>
        <i val="0"/>
        <color theme="1"/>
      </font>
    </dxf>
    <dxf>
      <font>
        <color theme="1"/>
      </font>
      <fill>
        <patternFill patternType="none">
          <bgColor auto="1"/>
        </patternFill>
      </fill>
    </dxf>
    <dxf>
      <font>
        <color theme="4" tint="0.79998168889431442"/>
      </font>
      <fill>
        <patternFill>
          <bgColor theme="4" tint="0.79998168889431442"/>
        </patternFill>
      </fill>
    </dxf>
    <dxf>
      <fill>
        <patternFill patternType="solid">
          <bgColor theme="4" tint="0.79998168889431442"/>
        </patternFill>
      </fill>
    </dxf>
    <dxf>
      <fill>
        <patternFill>
          <bgColor theme="4" tint="0.79998168889431442"/>
        </patternFill>
      </fill>
    </dxf>
    <dxf>
      <font>
        <color theme="4" tint="0.79998168889431442"/>
      </font>
    </dxf>
    <dxf>
      <font>
        <b val="0"/>
        <i val="0"/>
        <color theme="1"/>
      </font>
    </dxf>
    <dxf>
      <fill>
        <patternFill>
          <bgColor rgb="FFFF0000"/>
        </patternFill>
      </fill>
    </dxf>
    <dxf>
      <fill>
        <patternFill>
          <bgColor rgb="FFFF0000"/>
        </patternFill>
      </fill>
    </dxf>
    <dxf>
      <font>
        <color theme="0"/>
      </font>
    </dxf>
    <dxf>
      <font>
        <b val="0"/>
        <i val="0"/>
        <color theme="1"/>
      </font>
    </dxf>
    <dxf>
      <font>
        <b/>
        <i val="0"/>
        <color theme="1"/>
      </font>
    </dxf>
    <dxf>
      <font>
        <color theme="1"/>
      </font>
      <fill>
        <patternFill patternType="none">
          <bgColor auto="1"/>
        </patternFill>
      </fill>
    </dxf>
    <dxf>
      <font>
        <color theme="4" tint="0.79998168889431442"/>
      </font>
      <fill>
        <patternFill>
          <bgColor theme="4" tint="0.79998168889431442"/>
        </patternFill>
      </fill>
    </dxf>
    <dxf>
      <fill>
        <patternFill patternType="solid">
          <bgColor theme="4" tint="0.79998168889431442"/>
        </patternFill>
      </fill>
    </dxf>
    <dxf>
      <fill>
        <patternFill>
          <bgColor theme="4" tint="0.79998168889431442"/>
        </patternFill>
      </fill>
    </dxf>
    <dxf>
      <font>
        <color theme="4" tint="0.79998168889431442"/>
      </font>
    </dxf>
    <dxf>
      <font>
        <b val="0"/>
        <i val="0"/>
        <color theme="1"/>
      </font>
    </dxf>
    <dxf>
      <fill>
        <patternFill>
          <bgColor rgb="FFFF0000"/>
        </patternFill>
      </fill>
    </dxf>
    <dxf>
      <fill>
        <patternFill>
          <bgColor rgb="FFFF0000"/>
        </patternFill>
      </fill>
    </dxf>
    <dxf>
      <font>
        <color theme="0"/>
      </font>
    </dxf>
    <dxf>
      <font>
        <b val="0"/>
        <i val="0"/>
        <color theme="1"/>
      </font>
    </dxf>
    <dxf>
      <font>
        <b/>
        <i val="0"/>
        <color theme="1"/>
      </font>
    </dxf>
    <dxf>
      <font>
        <color theme="1"/>
      </font>
      <fill>
        <patternFill patternType="none">
          <bgColor auto="1"/>
        </patternFill>
      </fill>
    </dxf>
    <dxf>
      <fill>
        <patternFill>
          <bgColor rgb="FFFF0000"/>
        </patternFill>
      </fill>
    </dxf>
    <dxf>
      <fill>
        <patternFill>
          <bgColor rgb="FFFF0000"/>
        </patternFill>
      </fill>
    </dxf>
    <dxf>
      <font>
        <color theme="4" tint="0.79998168889431442"/>
      </font>
    </dxf>
    <dxf>
      <font>
        <color theme="0"/>
      </font>
    </dxf>
    <dxf>
      <font>
        <color theme="4" tint="0.79998168889431442"/>
      </font>
      <fill>
        <patternFill>
          <bgColor theme="4" tint="0.79998168889431442"/>
        </patternFill>
      </fill>
    </dxf>
    <dxf>
      <font>
        <b val="0"/>
        <i val="0"/>
      </font>
      <fill>
        <patternFill patternType="none">
          <bgColor auto="1"/>
        </patternFill>
      </fill>
    </dxf>
    <dxf>
      <font>
        <b val="0"/>
        <i val="0"/>
        <color theme="1"/>
      </font>
      <fill>
        <patternFill patternType="none">
          <bgColor auto="1"/>
        </patternFill>
      </fill>
    </dxf>
    <dxf>
      <font>
        <b/>
        <i val="0"/>
        <color theme="1"/>
      </font>
    </dxf>
    <dxf>
      <fill>
        <patternFill patternType="solid">
          <bgColor theme="4" tint="0.79998168889431442"/>
        </patternFill>
      </fill>
    </dxf>
    <dxf>
      <fill>
        <patternFill>
          <bgColor theme="4" tint="0.79998168889431442"/>
        </patternFill>
      </fill>
    </dxf>
    <dxf>
      <font>
        <color theme="1"/>
      </font>
      <fill>
        <patternFill patternType="none">
          <bgColor auto="1"/>
        </patternFill>
      </fill>
    </dxf>
    <dxf>
      <fill>
        <patternFill>
          <bgColor rgb="FFFF0000"/>
        </patternFill>
      </fill>
    </dxf>
    <dxf>
      <fill>
        <patternFill>
          <bgColor rgb="FFFF0000"/>
        </patternFill>
      </fill>
    </dxf>
    <dxf>
      <font>
        <color theme="4" tint="0.79998168889431442"/>
      </font>
    </dxf>
    <dxf>
      <font>
        <color theme="0"/>
      </font>
    </dxf>
    <dxf>
      <font>
        <color theme="4" tint="0.79998168889431442"/>
      </font>
      <fill>
        <patternFill>
          <bgColor theme="4" tint="0.79998168889431442"/>
        </patternFill>
      </fill>
    </dxf>
    <dxf>
      <font>
        <b val="0"/>
        <i val="0"/>
      </font>
      <fill>
        <patternFill patternType="none">
          <bgColor auto="1"/>
        </patternFill>
      </fill>
    </dxf>
    <dxf>
      <font>
        <b val="0"/>
        <i val="0"/>
        <color theme="1"/>
      </font>
      <fill>
        <patternFill patternType="none">
          <bgColor auto="1"/>
        </patternFill>
      </fill>
    </dxf>
    <dxf>
      <font>
        <b/>
        <i val="0"/>
        <color theme="1"/>
      </font>
    </dxf>
    <dxf>
      <fill>
        <patternFill patternType="solid">
          <bgColor theme="4" tint="0.79998168889431442"/>
        </patternFill>
      </fill>
    </dxf>
    <dxf>
      <fill>
        <patternFill>
          <bgColor theme="4" tint="0.79998168889431442"/>
        </patternFill>
      </fill>
    </dxf>
    <dxf>
      <font>
        <color theme="1"/>
      </font>
      <fill>
        <patternFill patternType="none">
          <bgColor auto="1"/>
        </patternFill>
      </fill>
    </dxf>
    <dxf>
      <fill>
        <patternFill>
          <bgColor rgb="FFFF0000"/>
        </patternFill>
      </fill>
    </dxf>
    <dxf>
      <fill>
        <patternFill>
          <bgColor rgb="FFFF0000"/>
        </patternFill>
      </fill>
    </dxf>
    <dxf>
      <font>
        <color theme="4" tint="0.79998168889431442"/>
      </font>
    </dxf>
    <dxf>
      <font>
        <color theme="0"/>
      </font>
    </dxf>
    <dxf>
      <font>
        <color theme="4" tint="0.79998168889431442"/>
      </font>
      <fill>
        <patternFill>
          <bgColor theme="4" tint="0.79998168889431442"/>
        </patternFill>
      </fill>
    </dxf>
    <dxf>
      <font>
        <b val="0"/>
        <i val="0"/>
      </font>
      <fill>
        <patternFill patternType="none">
          <bgColor auto="1"/>
        </patternFill>
      </fill>
    </dxf>
    <dxf>
      <font>
        <b val="0"/>
        <i val="0"/>
        <color theme="1"/>
      </font>
      <fill>
        <patternFill patternType="none">
          <bgColor auto="1"/>
        </patternFill>
      </fill>
    </dxf>
    <dxf>
      <font>
        <b/>
        <i val="0"/>
        <color theme="1"/>
      </font>
    </dxf>
    <dxf>
      <fill>
        <patternFill patternType="solid">
          <bgColor theme="4" tint="0.79998168889431442"/>
        </patternFill>
      </fill>
    </dxf>
    <dxf>
      <fill>
        <patternFill>
          <bgColor theme="4" tint="0.79998168889431442"/>
        </patternFill>
      </fill>
    </dxf>
    <dxf>
      <font>
        <color theme="1"/>
      </font>
      <fill>
        <patternFill patternType="none">
          <bgColor auto="1"/>
        </patternFill>
      </fill>
    </dxf>
    <dxf>
      <fill>
        <patternFill>
          <bgColor rgb="FFFF0000"/>
        </patternFill>
      </fill>
    </dxf>
    <dxf>
      <fill>
        <patternFill>
          <bgColor rgb="FFFF0000"/>
        </patternFill>
      </fill>
    </dxf>
    <dxf>
      <font>
        <color theme="4" tint="0.79998168889431442"/>
      </font>
    </dxf>
    <dxf>
      <font>
        <color theme="0"/>
      </font>
    </dxf>
    <dxf>
      <font>
        <color theme="4" tint="0.79998168889431442"/>
      </font>
      <fill>
        <patternFill>
          <bgColor theme="4" tint="0.79998168889431442"/>
        </patternFill>
      </fill>
    </dxf>
    <dxf>
      <font>
        <b val="0"/>
        <i val="0"/>
      </font>
      <fill>
        <patternFill patternType="none">
          <bgColor auto="1"/>
        </patternFill>
      </fill>
    </dxf>
    <dxf>
      <font>
        <b val="0"/>
        <i val="0"/>
        <color theme="1"/>
      </font>
      <fill>
        <patternFill patternType="none">
          <bgColor auto="1"/>
        </patternFill>
      </fill>
    </dxf>
    <dxf>
      <font>
        <b/>
        <i val="0"/>
        <color theme="1"/>
      </font>
    </dxf>
    <dxf>
      <fill>
        <patternFill patternType="solid">
          <bgColor theme="4" tint="0.79998168889431442"/>
        </patternFill>
      </fill>
    </dxf>
    <dxf>
      <fill>
        <patternFill>
          <bgColor theme="4" tint="0.79998168889431442"/>
        </patternFill>
      </fill>
    </dxf>
    <dxf>
      <font>
        <color theme="1"/>
      </font>
      <fill>
        <patternFill patternType="none">
          <bgColor auto="1"/>
        </patternFill>
      </fill>
    </dxf>
    <dxf>
      <fill>
        <patternFill>
          <bgColor rgb="FFFF0000"/>
        </patternFill>
      </fill>
    </dxf>
    <dxf>
      <fill>
        <patternFill>
          <bgColor rgb="FFFF0000"/>
        </patternFill>
      </fill>
    </dxf>
    <dxf>
      <font>
        <color theme="4" tint="0.79998168889431442"/>
      </font>
    </dxf>
    <dxf>
      <font>
        <color theme="0"/>
      </font>
    </dxf>
    <dxf>
      <font>
        <color theme="4" tint="0.79998168889431442"/>
      </font>
      <fill>
        <patternFill>
          <bgColor theme="4" tint="0.79998168889431442"/>
        </patternFill>
      </fill>
    </dxf>
    <dxf>
      <font>
        <b val="0"/>
        <i val="0"/>
      </font>
      <fill>
        <patternFill patternType="none">
          <bgColor auto="1"/>
        </patternFill>
      </fill>
    </dxf>
    <dxf>
      <font>
        <b val="0"/>
        <i val="0"/>
        <color theme="1"/>
      </font>
      <fill>
        <patternFill patternType="none">
          <bgColor auto="1"/>
        </patternFill>
      </fill>
    </dxf>
    <dxf>
      <font>
        <b/>
        <i val="0"/>
        <color theme="1"/>
      </font>
    </dxf>
    <dxf>
      <fill>
        <patternFill patternType="solid">
          <bgColor theme="4" tint="0.79998168889431442"/>
        </patternFill>
      </fill>
    </dxf>
    <dxf>
      <fill>
        <patternFill>
          <bgColor theme="4" tint="0.79998168889431442"/>
        </patternFill>
      </fill>
    </dxf>
    <dxf>
      <font>
        <color theme="1"/>
      </font>
      <fill>
        <patternFill patternType="none">
          <bgColor auto="1"/>
        </patternFill>
      </fill>
    </dxf>
    <dxf>
      <fill>
        <patternFill>
          <bgColor rgb="FFFF0000"/>
        </patternFill>
      </fill>
    </dxf>
    <dxf>
      <fill>
        <patternFill>
          <bgColor rgb="FFFF0000"/>
        </patternFill>
      </fill>
    </dxf>
    <dxf>
      <font>
        <color theme="4" tint="0.79998168889431442"/>
      </font>
    </dxf>
    <dxf>
      <font>
        <color theme="0"/>
      </font>
    </dxf>
    <dxf>
      <font>
        <color theme="4" tint="0.79998168889431442"/>
      </font>
      <fill>
        <patternFill>
          <bgColor theme="4" tint="0.79998168889431442"/>
        </patternFill>
      </fill>
    </dxf>
    <dxf>
      <font>
        <b val="0"/>
        <i val="0"/>
      </font>
      <fill>
        <patternFill patternType="none">
          <bgColor auto="1"/>
        </patternFill>
      </fill>
    </dxf>
    <dxf>
      <font>
        <b val="0"/>
        <i val="0"/>
        <color theme="1"/>
      </font>
      <fill>
        <patternFill patternType="none">
          <bgColor auto="1"/>
        </patternFill>
      </fill>
    </dxf>
    <dxf>
      <font>
        <b/>
        <i val="0"/>
        <color theme="1"/>
      </font>
    </dxf>
    <dxf>
      <fill>
        <patternFill patternType="solid">
          <bgColor theme="4" tint="0.79998168889431442"/>
        </patternFill>
      </fill>
    </dxf>
    <dxf>
      <fill>
        <patternFill>
          <bgColor theme="4" tint="0.79998168889431442"/>
        </patternFill>
      </fill>
    </dxf>
    <dxf>
      <font>
        <color theme="1"/>
      </font>
      <fill>
        <patternFill patternType="none">
          <bgColor auto="1"/>
        </patternFill>
      </fill>
    </dxf>
    <dxf>
      <font>
        <color theme="4" tint="0.79998168889431442"/>
      </font>
      <fill>
        <patternFill>
          <bgColor theme="4" tint="0.79998168889431442"/>
        </patternFill>
      </fill>
    </dxf>
    <dxf>
      <fill>
        <patternFill patternType="solid">
          <bgColor theme="4" tint="0.79998168889431442"/>
        </patternFill>
      </fill>
    </dxf>
    <dxf>
      <fill>
        <patternFill>
          <bgColor theme="4" tint="0.79998168889431442"/>
        </patternFill>
      </fill>
    </dxf>
    <dxf>
      <font>
        <color theme="4" tint="0.79998168889431442"/>
      </font>
    </dxf>
    <dxf>
      <font>
        <b val="0"/>
        <i val="0"/>
        <color theme="1"/>
      </font>
    </dxf>
    <dxf>
      <fill>
        <patternFill>
          <bgColor rgb="FFFF0000"/>
        </patternFill>
      </fill>
    </dxf>
    <dxf>
      <fill>
        <patternFill>
          <bgColor rgb="FFFF0000"/>
        </patternFill>
      </fill>
    </dxf>
    <dxf>
      <font>
        <color theme="0"/>
      </font>
    </dxf>
    <dxf>
      <font>
        <b val="0"/>
        <i val="0"/>
        <color theme="1"/>
      </font>
    </dxf>
    <dxf>
      <font>
        <b/>
        <i val="0"/>
        <color theme="1"/>
      </font>
    </dxf>
    <dxf>
      <font>
        <color theme="1"/>
      </font>
      <fill>
        <patternFill patternType="none">
          <bgColor auto="1"/>
        </patternFill>
      </fill>
    </dxf>
    <dxf>
      <font>
        <color theme="4" tint="0.79998168889431442"/>
      </font>
      <fill>
        <patternFill>
          <bgColor theme="4" tint="0.79998168889431442"/>
        </patternFill>
      </fill>
    </dxf>
    <dxf>
      <fill>
        <patternFill patternType="solid">
          <bgColor theme="4" tint="0.79998168889431442"/>
        </patternFill>
      </fill>
    </dxf>
    <dxf>
      <fill>
        <patternFill>
          <bgColor theme="4" tint="0.79998168889431442"/>
        </patternFill>
      </fill>
    </dxf>
    <dxf>
      <font>
        <color theme="4" tint="0.79998168889431442"/>
      </font>
    </dxf>
    <dxf>
      <fill>
        <patternFill>
          <bgColor rgb="FFFF0000"/>
        </patternFill>
      </fill>
    </dxf>
    <dxf>
      <fill>
        <patternFill>
          <bgColor rgb="FFFF0000"/>
        </patternFill>
      </fill>
    </dxf>
    <dxf>
      <font>
        <color theme="0"/>
      </font>
    </dxf>
    <dxf>
      <font>
        <b val="0"/>
        <i val="0"/>
      </font>
    </dxf>
    <dxf>
      <font>
        <b val="0"/>
        <i val="0"/>
        <color theme="1"/>
      </font>
    </dxf>
    <dxf>
      <font>
        <b/>
        <i val="0"/>
        <color theme="1"/>
      </font>
    </dxf>
    <dxf>
      <font>
        <color theme="1"/>
      </font>
      <fill>
        <patternFill patternType="none">
          <bgColor auto="1"/>
        </patternFill>
      </fill>
    </dxf>
    <dxf>
      <fill>
        <patternFill>
          <bgColor rgb="FFFF0000"/>
        </patternFill>
      </fill>
    </dxf>
    <dxf>
      <fill>
        <patternFill>
          <bgColor rgb="FFFF0000"/>
        </patternFill>
      </fill>
    </dxf>
    <dxf>
      <font>
        <color theme="4" tint="0.79998168889431442"/>
      </font>
    </dxf>
    <dxf>
      <font>
        <color theme="0"/>
      </font>
    </dxf>
    <dxf>
      <font>
        <color theme="4" tint="0.79998168889431442"/>
      </font>
      <fill>
        <patternFill>
          <bgColor theme="4" tint="0.79998168889431442"/>
        </patternFill>
      </fill>
    </dxf>
    <dxf>
      <font>
        <b val="0"/>
        <i val="0"/>
      </font>
      <fill>
        <patternFill patternType="none">
          <bgColor auto="1"/>
        </patternFill>
      </fill>
    </dxf>
    <dxf>
      <font>
        <b val="0"/>
        <i val="0"/>
        <color theme="1"/>
      </font>
      <fill>
        <patternFill patternType="none">
          <bgColor auto="1"/>
        </patternFill>
      </fill>
    </dxf>
    <dxf>
      <font>
        <b/>
        <i val="0"/>
        <color theme="1"/>
      </font>
    </dxf>
    <dxf>
      <fill>
        <patternFill patternType="solid">
          <bgColor theme="4" tint="0.79998168889431442"/>
        </patternFill>
      </fill>
    </dxf>
    <dxf>
      <fill>
        <patternFill>
          <bgColor theme="4" tint="0.79998168889431442"/>
        </patternFill>
      </fill>
    </dxf>
    <dxf>
      <font>
        <color theme="1"/>
      </font>
      <fill>
        <patternFill patternType="none">
          <bgColor auto="1"/>
        </patternFill>
      </fill>
    </dxf>
    <dxf>
      <fill>
        <patternFill>
          <bgColor rgb="FFFF0000"/>
        </patternFill>
      </fill>
    </dxf>
    <dxf>
      <fill>
        <patternFill>
          <bgColor rgb="FFFF0000"/>
        </patternFill>
      </fill>
    </dxf>
    <dxf>
      <font>
        <color theme="4" tint="0.79998168889431442"/>
      </font>
    </dxf>
    <dxf>
      <font>
        <color theme="0"/>
      </font>
    </dxf>
    <dxf>
      <font>
        <color theme="4" tint="0.79998168889431442"/>
      </font>
      <fill>
        <patternFill>
          <bgColor theme="4" tint="0.79998168889431442"/>
        </patternFill>
      </fill>
    </dxf>
    <dxf>
      <font>
        <b val="0"/>
        <i val="0"/>
      </font>
      <fill>
        <patternFill patternType="none">
          <bgColor auto="1"/>
        </patternFill>
      </fill>
    </dxf>
    <dxf>
      <font>
        <b val="0"/>
        <i val="0"/>
        <color theme="1"/>
      </font>
      <fill>
        <patternFill patternType="none">
          <bgColor auto="1"/>
        </patternFill>
      </fill>
    </dxf>
    <dxf>
      <font>
        <b/>
        <i val="0"/>
        <color theme="1"/>
      </font>
    </dxf>
    <dxf>
      <fill>
        <patternFill patternType="solid">
          <bgColor theme="4" tint="0.79998168889431442"/>
        </patternFill>
      </fill>
    </dxf>
    <dxf>
      <fill>
        <patternFill>
          <bgColor theme="4" tint="0.79998168889431442"/>
        </patternFill>
      </fill>
    </dxf>
    <dxf>
      <font>
        <color theme="1"/>
      </font>
      <fill>
        <patternFill patternType="none">
          <bgColor auto="1"/>
        </patternFill>
      </fill>
    </dxf>
    <dxf>
      <fill>
        <patternFill>
          <bgColor rgb="FFFF0000"/>
        </patternFill>
      </fill>
    </dxf>
    <dxf>
      <fill>
        <patternFill>
          <bgColor rgb="FFFF0000"/>
        </patternFill>
      </fill>
    </dxf>
    <dxf>
      <font>
        <color theme="4" tint="0.79998168889431442"/>
      </font>
    </dxf>
    <dxf>
      <font>
        <color theme="0"/>
      </font>
    </dxf>
    <dxf>
      <font>
        <color theme="4" tint="0.79998168889431442"/>
      </font>
      <fill>
        <patternFill>
          <bgColor theme="4" tint="0.79998168889431442"/>
        </patternFill>
      </fill>
    </dxf>
    <dxf>
      <font>
        <b val="0"/>
        <i val="0"/>
      </font>
      <fill>
        <patternFill patternType="none">
          <bgColor auto="1"/>
        </patternFill>
      </fill>
    </dxf>
    <dxf>
      <font>
        <b val="0"/>
        <i val="0"/>
        <color theme="1"/>
      </font>
      <fill>
        <patternFill patternType="none">
          <bgColor auto="1"/>
        </patternFill>
      </fill>
    </dxf>
    <dxf>
      <font>
        <b/>
        <i val="0"/>
        <color theme="1"/>
      </font>
    </dxf>
    <dxf>
      <fill>
        <patternFill patternType="solid">
          <bgColor theme="4" tint="0.79998168889431442"/>
        </patternFill>
      </fill>
    </dxf>
    <dxf>
      <fill>
        <patternFill>
          <bgColor theme="4" tint="0.79998168889431442"/>
        </patternFill>
      </fill>
    </dxf>
    <dxf>
      <font>
        <color theme="1"/>
      </font>
      <fill>
        <patternFill patternType="none">
          <bgColor auto="1"/>
        </patternFill>
      </fill>
    </dxf>
    <dxf>
      <fill>
        <patternFill>
          <bgColor rgb="FFFF0000"/>
        </patternFill>
      </fill>
    </dxf>
    <dxf>
      <fill>
        <patternFill>
          <bgColor rgb="FFFF0000"/>
        </patternFill>
      </fill>
    </dxf>
    <dxf>
      <font>
        <color theme="4" tint="0.79998168889431442"/>
      </font>
    </dxf>
    <dxf>
      <font>
        <color theme="0"/>
      </font>
    </dxf>
    <dxf>
      <font>
        <color theme="4" tint="0.79998168889431442"/>
      </font>
      <fill>
        <patternFill>
          <bgColor theme="4" tint="0.79998168889431442"/>
        </patternFill>
      </fill>
    </dxf>
    <dxf>
      <font>
        <b val="0"/>
        <i val="0"/>
      </font>
      <fill>
        <patternFill patternType="none">
          <bgColor auto="1"/>
        </patternFill>
      </fill>
    </dxf>
    <dxf>
      <font>
        <b val="0"/>
        <i val="0"/>
        <color theme="1"/>
      </font>
      <fill>
        <patternFill patternType="none">
          <bgColor auto="1"/>
        </patternFill>
      </fill>
    </dxf>
    <dxf>
      <font>
        <b/>
        <i val="0"/>
        <color theme="1"/>
      </font>
    </dxf>
    <dxf>
      <fill>
        <patternFill patternType="solid">
          <bgColor theme="4" tint="0.79998168889431442"/>
        </patternFill>
      </fill>
    </dxf>
    <dxf>
      <fill>
        <patternFill>
          <bgColor theme="4" tint="0.79998168889431442"/>
        </patternFill>
      </fill>
    </dxf>
    <dxf>
      <font>
        <color theme="1"/>
      </font>
      <fill>
        <patternFill patternType="none">
          <bgColor auto="1"/>
        </patternFill>
      </fill>
    </dxf>
    <dxf>
      <fill>
        <patternFill>
          <bgColor rgb="FFFF0000"/>
        </patternFill>
      </fill>
    </dxf>
    <dxf>
      <fill>
        <patternFill>
          <bgColor rgb="FFFF0000"/>
        </patternFill>
      </fill>
    </dxf>
    <dxf>
      <font>
        <color theme="4" tint="0.79998168889431442"/>
      </font>
    </dxf>
    <dxf>
      <font>
        <color theme="0"/>
      </font>
    </dxf>
    <dxf>
      <font>
        <color theme="4" tint="0.79998168889431442"/>
      </font>
      <fill>
        <patternFill>
          <bgColor theme="4" tint="0.79998168889431442"/>
        </patternFill>
      </fill>
    </dxf>
    <dxf>
      <font>
        <b val="0"/>
        <i val="0"/>
      </font>
      <fill>
        <patternFill patternType="none">
          <bgColor auto="1"/>
        </patternFill>
      </fill>
    </dxf>
    <dxf>
      <font>
        <b val="0"/>
        <i val="0"/>
        <color theme="1"/>
      </font>
      <fill>
        <patternFill patternType="none">
          <bgColor auto="1"/>
        </patternFill>
      </fill>
    </dxf>
    <dxf>
      <font>
        <b/>
        <i val="0"/>
        <color theme="1"/>
      </font>
    </dxf>
    <dxf>
      <fill>
        <patternFill patternType="solid">
          <bgColor theme="4" tint="0.79998168889431442"/>
        </patternFill>
      </fill>
    </dxf>
    <dxf>
      <fill>
        <patternFill>
          <bgColor theme="4" tint="0.79998168889431442"/>
        </patternFill>
      </fill>
    </dxf>
    <dxf>
      <font>
        <color theme="1"/>
      </font>
      <fill>
        <patternFill patternType="none">
          <bgColor auto="1"/>
        </patternFill>
      </fill>
    </dxf>
    <dxf>
      <fill>
        <patternFill>
          <bgColor rgb="FFFF0000"/>
        </patternFill>
      </fill>
    </dxf>
    <dxf>
      <fill>
        <patternFill>
          <bgColor rgb="FFFF0000"/>
        </patternFill>
      </fill>
    </dxf>
    <dxf>
      <font>
        <color theme="4" tint="0.79998168889431442"/>
      </font>
    </dxf>
    <dxf>
      <font>
        <color theme="0"/>
      </font>
    </dxf>
    <dxf>
      <font>
        <color theme="4" tint="0.79998168889431442"/>
      </font>
      <fill>
        <patternFill>
          <bgColor theme="4" tint="0.79998168889431442"/>
        </patternFill>
      </fill>
    </dxf>
    <dxf>
      <font>
        <b val="0"/>
        <i val="0"/>
      </font>
      <fill>
        <patternFill patternType="none">
          <bgColor auto="1"/>
        </patternFill>
      </fill>
    </dxf>
    <dxf>
      <font>
        <b val="0"/>
        <i val="0"/>
        <color theme="1"/>
      </font>
      <fill>
        <patternFill patternType="none">
          <bgColor auto="1"/>
        </patternFill>
      </fill>
    </dxf>
    <dxf>
      <font>
        <b/>
        <i val="0"/>
        <color theme="1"/>
      </font>
    </dxf>
    <dxf>
      <fill>
        <patternFill patternType="solid">
          <bgColor theme="4" tint="0.79998168889431442"/>
        </patternFill>
      </fill>
    </dxf>
    <dxf>
      <fill>
        <patternFill>
          <bgColor theme="4" tint="0.79998168889431442"/>
        </patternFill>
      </fill>
    </dxf>
    <dxf>
      <font>
        <color theme="1"/>
      </font>
      <fill>
        <patternFill patternType="none">
          <bgColor auto="1"/>
        </patternFill>
      </fill>
    </dxf>
    <dxf>
      <fill>
        <patternFill>
          <bgColor rgb="FFFF0000"/>
        </patternFill>
      </fill>
    </dxf>
    <dxf>
      <fill>
        <patternFill>
          <bgColor rgb="FFFF0000"/>
        </patternFill>
      </fill>
    </dxf>
    <dxf>
      <font>
        <color theme="4" tint="0.79998168889431442"/>
      </font>
    </dxf>
    <dxf>
      <font>
        <color theme="0"/>
      </font>
    </dxf>
    <dxf>
      <font>
        <color theme="4" tint="0.79998168889431442"/>
      </font>
      <fill>
        <patternFill>
          <bgColor theme="4" tint="0.79998168889431442"/>
        </patternFill>
      </fill>
    </dxf>
    <dxf>
      <font>
        <b val="0"/>
        <i val="0"/>
      </font>
      <fill>
        <patternFill patternType="none">
          <bgColor auto="1"/>
        </patternFill>
      </fill>
    </dxf>
    <dxf>
      <font>
        <b val="0"/>
        <i val="0"/>
        <color theme="1"/>
      </font>
      <fill>
        <patternFill patternType="none">
          <bgColor auto="1"/>
        </patternFill>
      </fill>
    </dxf>
    <dxf>
      <font>
        <b/>
        <i val="0"/>
        <color theme="1"/>
      </font>
    </dxf>
    <dxf>
      <fill>
        <patternFill patternType="solid">
          <bgColor theme="4" tint="0.79998168889431442"/>
        </patternFill>
      </fill>
    </dxf>
    <dxf>
      <fill>
        <patternFill>
          <bgColor theme="4" tint="0.79998168889431442"/>
        </patternFill>
      </fill>
    </dxf>
    <dxf>
      <font>
        <color theme="1"/>
      </font>
      <fill>
        <patternFill patternType="none">
          <bgColor auto="1"/>
        </patternFill>
      </fill>
    </dxf>
    <dxf>
      <fill>
        <patternFill>
          <bgColor rgb="FFFF0000"/>
        </patternFill>
      </fill>
    </dxf>
    <dxf>
      <fill>
        <patternFill>
          <bgColor rgb="FFFF0000"/>
        </patternFill>
      </fill>
    </dxf>
    <dxf>
      <font>
        <color theme="4" tint="0.79998168889431442"/>
      </font>
    </dxf>
    <dxf>
      <font>
        <color theme="0"/>
      </font>
    </dxf>
    <dxf>
      <font>
        <color theme="4" tint="0.79998168889431442"/>
      </font>
      <fill>
        <patternFill>
          <bgColor theme="4" tint="0.79998168889431442"/>
        </patternFill>
      </fill>
    </dxf>
    <dxf>
      <font>
        <b val="0"/>
        <i val="0"/>
      </font>
      <fill>
        <patternFill patternType="none">
          <bgColor auto="1"/>
        </patternFill>
      </fill>
    </dxf>
    <dxf>
      <font>
        <b val="0"/>
        <i val="0"/>
        <color theme="1"/>
      </font>
      <fill>
        <patternFill patternType="none">
          <bgColor auto="1"/>
        </patternFill>
      </fill>
    </dxf>
    <dxf>
      <font>
        <b/>
        <i val="0"/>
        <color theme="1"/>
      </font>
    </dxf>
    <dxf>
      <fill>
        <patternFill patternType="solid">
          <bgColor theme="4" tint="0.79998168889431442"/>
        </patternFill>
      </fill>
    </dxf>
    <dxf>
      <fill>
        <patternFill>
          <bgColor theme="4" tint="0.79998168889431442"/>
        </patternFill>
      </fill>
    </dxf>
    <dxf>
      <font>
        <color theme="1"/>
      </font>
      <fill>
        <patternFill patternType="none">
          <bgColor auto="1"/>
        </patternFill>
      </fill>
    </dxf>
    <dxf>
      <fill>
        <patternFill>
          <bgColor rgb="FFFF0000"/>
        </patternFill>
      </fill>
    </dxf>
    <dxf>
      <fill>
        <patternFill>
          <bgColor rgb="FFFF0000"/>
        </patternFill>
      </fill>
    </dxf>
    <dxf>
      <font>
        <color rgb="FF99CCFF"/>
      </font>
    </dxf>
    <dxf>
      <font>
        <color theme="0"/>
      </font>
    </dxf>
    <dxf>
      <font>
        <color rgb="FF99CCFF"/>
      </font>
      <fill>
        <patternFill>
          <bgColor rgb="FF99CCFF"/>
        </patternFill>
      </fill>
    </dxf>
    <dxf>
      <font>
        <b val="0"/>
        <i val="0"/>
      </font>
    </dxf>
    <dxf>
      <font>
        <b val="0"/>
        <i val="0"/>
        <color theme="1"/>
      </font>
    </dxf>
    <dxf>
      <font>
        <b/>
        <i val="0"/>
        <color theme="1"/>
      </font>
    </dxf>
    <dxf>
      <fill>
        <patternFill patternType="solid">
          <bgColor rgb="FF99CCFF"/>
        </patternFill>
      </fill>
    </dxf>
    <dxf>
      <fill>
        <patternFill>
          <bgColor rgb="FF99CCFF"/>
        </patternFill>
      </fill>
    </dxf>
    <dxf>
      <font>
        <color theme="1"/>
      </font>
      <fill>
        <patternFill patternType="none">
          <bgColor auto="1"/>
        </patternFill>
      </fill>
    </dxf>
    <dxf>
      <font>
        <color theme="1"/>
      </font>
      <fill>
        <patternFill patternType="none">
          <bgColor auto="1"/>
        </patternFill>
      </fill>
    </dxf>
    <dxf>
      <fill>
        <patternFill>
          <bgColor rgb="FFFF0000"/>
        </patternFill>
      </fill>
    </dxf>
    <dxf>
      <fill>
        <patternFill>
          <bgColor rgb="FFFF0000"/>
        </patternFill>
      </fill>
    </dxf>
    <dxf>
      <font>
        <color rgb="FF99CCFF"/>
      </font>
    </dxf>
    <dxf>
      <font>
        <color theme="0"/>
      </font>
    </dxf>
    <dxf>
      <font>
        <color rgb="FF99CCFF"/>
      </font>
      <fill>
        <patternFill>
          <bgColor rgb="FF99CCFF"/>
        </patternFill>
      </fill>
    </dxf>
    <dxf>
      <font>
        <b val="0"/>
        <i val="0"/>
      </font>
    </dxf>
    <dxf>
      <font>
        <b val="0"/>
        <i val="0"/>
        <color theme="1"/>
      </font>
    </dxf>
    <dxf>
      <font>
        <b/>
        <i val="0"/>
        <color theme="1"/>
      </font>
    </dxf>
    <dxf>
      <fill>
        <patternFill patternType="solid">
          <bgColor rgb="FF99CCFF"/>
        </patternFill>
      </fill>
    </dxf>
    <dxf>
      <fill>
        <patternFill>
          <bgColor rgb="FF99CCFF"/>
        </patternFill>
      </fill>
    </dxf>
    <dxf>
      <font>
        <color theme="1"/>
      </font>
      <fill>
        <patternFill patternType="none">
          <bgColor auto="1"/>
        </patternFill>
      </fill>
    </dxf>
    <dxf>
      <font>
        <color theme="1"/>
      </font>
      <fill>
        <patternFill patternType="none">
          <bgColor auto="1"/>
        </patternFill>
      </fill>
    </dxf>
    <dxf>
      <fill>
        <patternFill>
          <bgColor rgb="FFFF0000"/>
        </patternFill>
      </fill>
    </dxf>
    <dxf>
      <fill>
        <patternFill>
          <bgColor rgb="FFFF0000"/>
        </patternFill>
      </fill>
    </dxf>
    <dxf>
      <font>
        <color rgb="FF99CCFF"/>
      </font>
    </dxf>
    <dxf>
      <font>
        <color theme="0"/>
      </font>
    </dxf>
    <dxf>
      <font>
        <color rgb="FF99CCFF"/>
      </font>
      <fill>
        <patternFill>
          <bgColor rgb="FF99CCFF"/>
        </patternFill>
      </fill>
    </dxf>
    <dxf>
      <font>
        <b val="0"/>
        <i val="0"/>
      </font>
    </dxf>
    <dxf>
      <font>
        <b val="0"/>
        <i val="0"/>
        <color theme="1"/>
      </font>
    </dxf>
    <dxf>
      <font>
        <b/>
        <i val="0"/>
        <color theme="1"/>
      </font>
    </dxf>
    <dxf>
      <fill>
        <patternFill patternType="solid">
          <bgColor rgb="FF99CCFF"/>
        </patternFill>
      </fill>
    </dxf>
    <dxf>
      <fill>
        <patternFill>
          <bgColor rgb="FF99CCFF"/>
        </patternFill>
      </fill>
    </dxf>
    <dxf>
      <font>
        <color theme="1"/>
      </font>
      <fill>
        <patternFill patternType="none">
          <bgColor auto="1"/>
        </patternFill>
      </fill>
    </dxf>
    <dxf>
      <font>
        <color theme="1"/>
      </font>
      <fill>
        <patternFill patternType="none">
          <bgColor auto="1"/>
        </patternFill>
      </fill>
    </dxf>
    <dxf>
      <fill>
        <patternFill>
          <bgColor rgb="FFFF0000"/>
        </patternFill>
      </fill>
    </dxf>
    <dxf>
      <fill>
        <patternFill>
          <bgColor rgb="FFFF0000"/>
        </patternFill>
      </fill>
    </dxf>
    <dxf>
      <font>
        <color rgb="FF99CCFF"/>
      </font>
    </dxf>
    <dxf>
      <font>
        <color theme="0"/>
      </font>
    </dxf>
    <dxf>
      <font>
        <color rgb="FF99CCFF"/>
      </font>
      <fill>
        <patternFill>
          <bgColor rgb="FF99CCFF"/>
        </patternFill>
      </fill>
    </dxf>
    <dxf>
      <font>
        <b val="0"/>
        <i val="0"/>
      </font>
    </dxf>
    <dxf>
      <font>
        <b val="0"/>
        <i val="0"/>
        <color theme="1"/>
      </font>
    </dxf>
    <dxf>
      <font>
        <b/>
        <i val="0"/>
        <color theme="1"/>
      </font>
    </dxf>
    <dxf>
      <fill>
        <patternFill patternType="solid">
          <bgColor rgb="FF99CCFF"/>
        </patternFill>
      </fill>
    </dxf>
    <dxf>
      <fill>
        <patternFill>
          <bgColor rgb="FF99CCFF"/>
        </patternFill>
      </fill>
    </dxf>
    <dxf>
      <font>
        <color theme="1"/>
      </font>
      <fill>
        <patternFill patternType="none">
          <bgColor auto="1"/>
        </patternFill>
      </fill>
    </dxf>
    <dxf>
      <font>
        <color theme="1"/>
      </font>
      <fill>
        <patternFill patternType="none">
          <bgColor auto="1"/>
        </patternFill>
      </fill>
    </dxf>
    <dxf>
      <fill>
        <patternFill>
          <bgColor rgb="FFFF0000"/>
        </patternFill>
      </fill>
    </dxf>
    <dxf>
      <fill>
        <patternFill>
          <bgColor rgb="FFFF0000"/>
        </patternFill>
      </fill>
    </dxf>
    <dxf>
      <font>
        <color rgb="FF99CCFF"/>
      </font>
    </dxf>
    <dxf>
      <font>
        <color theme="0"/>
      </font>
    </dxf>
    <dxf>
      <font>
        <color rgb="FF99CCFF"/>
      </font>
      <fill>
        <patternFill>
          <bgColor rgb="FF99CCFF"/>
        </patternFill>
      </fill>
    </dxf>
    <dxf>
      <font>
        <b val="0"/>
        <i val="0"/>
      </font>
    </dxf>
    <dxf>
      <font>
        <b val="0"/>
        <i val="0"/>
        <color theme="1"/>
      </font>
    </dxf>
    <dxf>
      <font>
        <b/>
        <i val="0"/>
        <color theme="1"/>
      </font>
    </dxf>
    <dxf>
      <fill>
        <patternFill patternType="solid">
          <bgColor rgb="FF99CCFF"/>
        </patternFill>
      </fill>
    </dxf>
    <dxf>
      <fill>
        <patternFill>
          <bgColor rgb="FF99CCFF"/>
        </patternFill>
      </fill>
    </dxf>
    <dxf>
      <font>
        <color theme="1"/>
      </font>
      <fill>
        <patternFill patternType="none">
          <bgColor auto="1"/>
        </patternFill>
      </fill>
    </dxf>
    <dxf>
      <font>
        <color theme="1"/>
      </font>
      <fill>
        <patternFill patternType="none">
          <bgColor auto="1"/>
        </patternFill>
      </fill>
    </dxf>
    <dxf>
      <fill>
        <patternFill>
          <bgColor rgb="FFFF0000"/>
        </patternFill>
      </fill>
    </dxf>
    <dxf>
      <fill>
        <patternFill>
          <bgColor rgb="FFFF0000"/>
        </patternFill>
      </fill>
    </dxf>
    <dxf>
      <font>
        <color rgb="FF99CCFF"/>
      </font>
    </dxf>
    <dxf>
      <font>
        <color theme="0"/>
      </font>
    </dxf>
    <dxf>
      <font>
        <color rgb="FF99CCFF"/>
      </font>
      <fill>
        <patternFill>
          <bgColor rgb="FF99CCFF"/>
        </patternFill>
      </fill>
    </dxf>
    <dxf>
      <font>
        <b val="0"/>
        <i val="0"/>
      </font>
    </dxf>
    <dxf>
      <font>
        <b val="0"/>
        <i val="0"/>
        <color theme="1"/>
      </font>
    </dxf>
    <dxf>
      <font>
        <b/>
        <i val="0"/>
        <color theme="1"/>
      </font>
    </dxf>
    <dxf>
      <fill>
        <patternFill patternType="solid">
          <bgColor rgb="FF99CCFF"/>
        </patternFill>
      </fill>
    </dxf>
    <dxf>
      <fill>
        <patternFill>
          <bgColor rgb="FF99CCFF"/>
        </patternFill>
      </fill>
    </dxf>
    <dxf>
      <font>
        <color theme="1"/>
      </font>
      <fill>
        <patternFill patternType="none">
          <bgColor auto="1"/>
        </patternFill>
      </fill>
    </dxf>
    <dxf>
      <font>
        <color theme="1"/>
      </font>
      <fill>
        <patternFill patternType="none">
          <bgColor auto="1"/>
        </patternFill>
      </fill>
    </dxf>
    <dxf>
      <font>
        <condense val="0"/>
        <extend val="0"/>
        <color indexed="50"/>
      </font>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numFmt numFmtId="1" formatCode="0"/>
    </dxf>
    <dxf>
      <numFmt numFmtId="166" formatCode="mmmm"/>
    </dxf>
  </dxfs>
  <tableStyles count="0" defaultTableStyle="TableStyleMedium2" defaultPivotStyle="PivotStyleLight16"/>
  <colors>
    <mruColors>
      <color rgb="FF99CCFF"/>
      <color rgb="FF66CC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0.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7.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_rels/drawing9.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xdr:from>
      <xdr:col>0</xdr:col>
      <xdr:colOff>0</xdr:colOff>
      <xdr:row>50</xdr:row>
      <xdr:rowOff>0</xdr:rowOff>
    </xdr:from>
    <xdr:to>
      <xdr:col>4</xdr:col>
      <xdr:colOff>0</xdr:colOff>
      <xdr:row>58</xdr:row>
      <xdr:rowOff>0</xdr:rowOff>
    </xdr:to>
    <xdr:sp macro="" textlink="">
      <xdr:nvSpPr>
        <xdr:cNvPr id="30636" name="Rectangle 1">
          <a:extLst>
            <a:ext uri="{FF2B5EF4-FFF2-40B4-BE49-F238E27FC236}">
              <a16:creationId xmlns:a16="http://schemas.microsoft.com/office/drawing/2014/main" id="{00000000-0008-0000-0100-0000AC770000}"/>
            </a:ext>
          </a:extLst>
        </xdr:cNvPr>
        <xdr:cNvSpPr>
          <a:spLocks noChangeArrowheads="1"/>
        </xdr:cNvSpPr>
      </xdr:nvSpPr>
      <xdr:spPr bwMode="auto">
        <a:xfrm>
          <a:off x="0" y="9906000"/>
          <a:ext cx="2286000" cy="137160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alpha val="50195"/>
                </a:srgbClr>
              </a:solidFill>
            </a14:hiddenFill>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30637" name="Line 2">
          <a:extLst>
            <a:ext uri="{FF2B5EF4-FFF2-40B4-BE49-F238E27FC236}">
              <a16:creationId xmlns:a16="http://schemas.microsoft.com/office/drawing/2014/main" id="{00000000-0008-0000-0100-0000AD770000}"/>
            </a:ext>
          </a:extLst>
        </xdr:cNvPr>
        <xdr:cNvSpPr>
          <a:spLocks noChangeShapeType="1"/>
        </xdr:cNvSpPr>
      </xdr:nvSpPr>
      <xdr:spPr bwMode="auto">
        <a:xfrm>
          <a:off x="0" y="10599420"/>
          <a:ext cx="228600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50</xdr:row>
      <xdr:rowOff>0</xdr:rowOff>
    </xdr:from>
    <xdr:to>
      <xdr:col>4</xdr:col>
      <xdr:colOff>0</xdr:colOff>
      <xdr:row>58</xdr:row>
      <xdr:rowOff>15240</xdr:rowOff>
    </xdr:to>
    <xdr:sp macro="" textlink="">
      <xdr:nvSpPr>
        <xdr:cNvPr id="30638" name="Rectangle 3">
          <a:extLst>
            <a:ext uri="{FF2B5EF4-FFF2-40B4-BE49-F238E27FC236}">
              <a16:creationId xmlns:a16="http://schemas.microsoft.com/office/drawing/2014/main" id="{00000000-0008-0000-0100-0000AE770000}"/>
            </a:ext>
          </a:extLst>
        </xdr:cNvPr>
        <xdr:cNvSpPr>
          <a:spLocks noChangeArrowheads="1"/>
        </xdr:cNvSpPr>
      </xdr:nvSpPr>
      <xdr:spPr bwMode="auto">
        <a:xfrm>
          <a:off x="0" y="9906000"/>
          <a:ext cx="2286000" cy="1432560"/>
        </a:xfrm>
        <a:prstGeom prst="rect">
          <a:avLst/>
        </a:prstGeom>
        <a:noFill/>
        <a:ln w="9360">
          <a:solidFill>
            <a:srgbClr val="00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30639" name="Line 4">
          <a:extLst>
            <a:ext uri="{FF2B5EF4-FFF2-40B4-BE49-F238E27FC236}">
              <a16:creationId xmlns:a16="http://schemas.microsoft.com/office/drawing/2014/main" id="{00000000-0008-0000-0100-0000AF770000}"/>
            </a:ext>
          </a:extLst>
        </xdr:cNvPr>
        <xdr:cNvSpPr>
          <a:spLocks noChangeShapeType="1"/>
        </xdr:cNvSpPr>
      </xdr:nvSpPr>
      <xdr:spPr bwMode="auto">
        <a:xfrm>
          <a:off x="0" y="10599420"/>
          <a:ext cx="2286000" cy="0"/>
        </a:xfrm>
        <a:prstGeom prst="line">
          <a:avLst/>
        </a:prstGeom>
        <a:noFill/>
        <a:ln w="9360">
          <a:solidFill>
            <a:srgbClr val="000000"/>
          </a:solidFill>
          <a:prstDash val="dash"/>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10</xdr:col>
      <xdr:colOff>0</xdr:colOff>
      <xdr:row>0</xdr:row>
      <xdr:rowOff>0</xdr:rowOff>
    </xdr:from>
    <xdr:to>
      <xdr:col>12</xdr:col>
      <xdr:colOff>188</xdr:colOff>
      <xdr:row>5</xdr:row>
      <xdr:rowOff>22413</xdr:rowOff>
    </xdr:to>
    <xdr:pic>
      <xdr:nvPicPr>
        <xdr:cNvPr id="2" name="Grafik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08650" y="0"/>
          <a:ext cx="822513" cy="82251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50</xdr:row>
      <xdr:rowOff>0</xdr:rowOff>
    </xdr:from>
    <xdr:to>
      <xdr:col>4</xdr:col>
      <xdr:colOff>0</xdr:colOff>
      <xdr:row>58</xdr:row>
      <xdr:rowOff>0</xdr:rowOff>
    </xdr:to>
    <xdr:sp macro="" textlink="">
      <xdr:nvSpPr>
        <xdr:cNvPr id="36780" name="Rectangle 1">
          <a:extLst>
            <a:ext uri="{FF2B5EF4-FFF2-40B4-BE49-F238E27FC236}">
              <a16:creationId xmlns:a16="http://schemas.microsoft.com/office/drawing/2014/main" id="{00000000-0008-0000-0A00-0000AC8F0000}"/>
            </a:ext>
          </a:extLst>
        </xdr:cNvPr>
        <xdr:cNvSpPr>
          <a:spLocks noChangeArrowheads="1"/>
        </xdr:cNvSpPr>
      </xdr:nvSpPr>
      <xdr:spPr bwMode="auto">
        <a:xfrm>
          <a:off x="0" y="8999220"/>
          <a:ext cx="2293620" cy="137160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alpha val="50195"/>
                </a:srgbClr>
              </a:solidFill>
            </a14:hiddenFill>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36781" name="Line 2">
          <a:extLst>
            <a:ext uri="{FF2B5EF4-FFF2-40B4-BE49-F238E27FC236}">
              <a16:creationId xmlns:a16="http://schemas.microsoft.com/office/drawing/2014/main" id="{00000000-0008-0000-0A00-0000AD8F0000}"/>
            </a:ext>
          </a:extLst>
        </xdr:cNvPr>
        <xdr:cNvSpPr>
          <a:spLocks noChangeShapeType="1"/>
        </xdr:cNvSpPr>
      </xdr:nvSpPr>
      <xdr:spPr bwMode="auto">
        <a:xfrm>
          <a:off x="0" y="9692640"/>
          <a:ext cx="229362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50</xdr:row>
      <xdr:rowOff>0</xdr:rowOff>
    </xdr:from>
    <xdr:to>
      <xdr:col>4</xdr:col>
      <xdr:colOff>0</xdr:colOff>
      <xdr:row>57</xdr:row>
      <xdr:rowOff>167640</xdr:rowOff>
    </xdr:to>
    <xdr:sp macro="" textlink="">
      <xdr:nvSpPr>
        <xdr:cNvPr id="36782" name="Rectangle 3">
          <a:extLst>
            <a:ext uri="{FF2B5EF4-FFF2-40B4-BE49-F238E27FC236}">
              <a16:creationId xmlns:a16="http://schemas.microsoft.com/office/drawing/2014/main" id="{00000000-0008-0000-0A00-0000AE8F0000}"/>
            </a:ext>
          </a:extLst>
        </xdr:cNvPr>
        <xdr:cNvSpPr>
          <a:spLocks noChangeArrowheads="1"/>
        </xdr:cNvSpPr>
      </xdr:nvSpPr>
      <xdr:spPr bwMode="auto">
        <a:xfrm>
          <a:off x="0" y="8999220"/>
          <a:ext cx="2293620" cy="1363980"/>
        </a:xfrm>
        <a:prstGeom prst="rect">
          <a:avLst/>
        </a:prstGeom>
        <a:noFill/>
        <a:ln w="9360">
          <a:solidFill>
            <a:srgbClr val="00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36783" name="Line 4">
          <a:extLst>
            <a:ext uri="{FF2B5EF4-FFF2-40B4-BE49-F238E27FC236}">
              <a16:creationId xmlns:a16="http://schemas.microsoft.com/office/drawing/2014/main" id="{00000000-0008-0000-0A00-0000AF8F0000}"/>
            </a:ext>
          </a:extLst>
        </xdr:cNvPr>
        <xdr:cNvSpPr>
          <a:spLocks noChangeShapeType="1"/>
        </xdr:cNvSpPr>
      </xdr:nvSpPr>
      <xdr:spPr bwMode="auto">
        <a:xfrm>
          <a:off x="0" y="9692640"/>
          <a:ext cx="2293620" cy="0"/>
        </a:xfrm>
        <a:prstGeom prst="line">
          <a:avLst/>
        </a:prstGeom>
        <a:noFill/>
        <a:ln w="9360">
          <a:solidFill>
            <a:srgbClr val="000000"/>
          </a:solidFill>
          <a:prstDash val="dash"/>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10</xdr:col>
      <xdr:colOff>1</xdr:colOff>
      <xdr:row>0</xdr:row>
      <xdr:rowOff>1</xdr:rowOff>
    </xdr:from>
    <xdr:to>
      <xdr:col>12</xdr:col>
      <xdr:colOff>189</xdr:colOff>
      <xdr:row>5</xdr:row>
      <xdr:rowOff>28764</xdr:rowOff>
    </xdr:to>
    <xdr:pic>
      <xdr:nvPicPr>
        <xdr:cNvPr id="2" name="Grafik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21351" y="1"/>
          <a:ext cx="822513" cy="82251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49</xdr:row>
      <xdr:rowOff>0</xdr:rowOff>
    </xdr:from>
    <xdr:to>
      <xdr:col>4</xdr:col>
      <xdr:colOff>0</xdr:colOff>
      <xdr:row>57</xdr:row>
      <xdr:rowOff>0</xdr:rowOff>
    </xdr:to>
    <xdr:sp macro="" textlink="">
      <xdr:nvSpPr>
        <xdr:cNvPr id="37808" name="Rectangle 1">
          <a:extLst>
            <a:ext uri="{FF2B5EF4-FFF2-40B4-BE49-F238E27FC236}">
              <a16:creationId xmlns:a16="http://schemas.microsoft.com/office/drawing/2014/main" id="{00000000-0008-0000-0B00-0000B0930000}"/>
            </a:ext>
          </a:extLst>
        </xdr:cNvPr>
        <xdr:cNvSpPr>
          <a:spLocks noChangeArrowheads="1"/>
        </xdr:cNvSpPr>
      </xdr:nvSpPr>
      <xdr:spPr bwMode="auto">
        <a:xfrm>
          <a:off x="0" y="9906000"/>
          <a:ext cx="2293620" cy="137160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alpha val="50195"/>
                </a:srgbClr>
              </a:solidFill>
            </a14:hiddenFill>
          </a:ext>
        </a:extLst>
      </xdr:spPr>
    </xdr:sp>
    <xdr:clientData/>
  </xdr:twoCellAnchor>
  <xdr:twoCellAnchor>
    <xdr:from>
      <xdr:col>0</xdr:col>
      <xdr:colOff>0</xdr:colOff>
      <xdr:row>53</xdr:row>
      <xdr:rowOff>7620</xdr:rowOff>
    </xdr:from>
    <xdr:to>
      <xdr:col>4</xdr:col>
      <xdr:colOff>0</xdr:colOff>
      <xdr:row>53</xdr:row>
      <xdr:rowOff>7620</xdr:rowOff>
    </xdr:to>
    <xdr:sp macro="" textlink="">
      <xdr:nvSpPr>
        <xdr:cNvPr id="37809" name="Line 2">
          <a:extLst>
            <a:ext uri="{FF2B5EF4-FFF2-40B4-BE49-F238E27FC236}">
              <a16:creationId xmlns:a16="http://schemas.microsoft.com/office/drawing/2014/main" id="{00000000-0008-0000-0B00-0000B1930000}"/>
            </a:ext>
          </a:extLst>
        </xdr:cNvPr>
        <xdr:cNvSpPr>
          <a:spLocks noChangeShapeType="1"/>
        </xdr:cNvSpPr>
      </xdr:nvSpPr>
      <xdr:spPr bwMode="auto">
        <a:xfrm>
          <a:off x="0" y="10599420"/>
          <a:ext cx="229362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49</xdr:row>
      <xdr:rowOff>0</xdr:rowOff>
    </xdr:from>
    <xdr:to>
      <xdr:col>4</xdr:col>
      <xdr:colOff>0</xdr:colOff>
      <xdr:row>56</xdr:row>
      <xdr:rowOff>167640</xdr:rowOff>
    </xdr:to>
    <xdr:sp macro="" textlink="">
      <xdr:nvSpPr>
        <xdr:cNvPr id="37810" name="Rectangle 3">
          <a:extLst>
            <a:ext uri="{FF2B5EF4-FFF2-40B4-BE49-F238E27FC236}">
              <a16:creationId xmlns:a16="http://schemas.microsoft.com/office/drawing/2014/main" id="{00000000-0008-0000-0B00-0000B2930000}"/>
            </a:ext>
          </a:extLst>
        </xdr:cNvPr>
        <xdr:cNvSpPr>
          <a:spLocks noChangeArrowheads="1"/>
        </xdr:cNvSpPr>
      </xdr:nvSpPr>
      <xdr:spPr bwMode="auto">
        <a:xfrm>
          <a:off x="0" y="9906000"/>
          <a:ext cx="2293620" cy="1363980"/>
        </a:xfrm>
        <a:prstGeom prst="rect">
          <a:avLst/>
        </a:prstGeom>
        <a:noFill/>
        <a:ln w="9360">
          <a:solidFill>
            <a:srgbClr val="00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53</xdr:row>
      <xdr:rowOff>7620</xdr:rowOff>
    </xdr:from>
    <xdr:to>
      <xdr:col>4</xdr:col>
      <xdr:colOff>0</xdr:colOff>
      <xdr:row>53</xdr:row>
      <xdr:rowOff>7620</xdr:rowOff>
    </xdr:to>
    <xdr:sp macro="" textlink="">
      <xdr:nvSpPr>
        <xdr:cNvPr id="37811" name="Line 4">
          <a:extLst>
            <a:ext uri="{FF2B5EF4-FFF2-40B4-BE49-F238E27FC236}">
              <a16:creationId xmlns:a16="http://schemas.microsoft.com/office/drawing/2014/main" id="{00000000-0008-0000-0B00-0000B3930000}"/>
            </a:ext>
          </a:extLst>
        </xdr:cNvPr>
        <xdr:cNvSpPr>
          <a:spLocks noChangeShapeType="1"/>
        </xdr:cNvSpPr>
      </xdr:nvSpPr>
      <xdr:spPr bwMode="auto">
        <a:xfrm>
          <a:off x="0" y="10599420"/>
          <a:ext cx="2293620" cy="0"/>
        </a:xfrm>
        <a:prstGeom prst="line">
          <a:avLst/>
        </a:prstGeom>
        <a:noFill/>
        <a:ln w="9360">
          <a:solidFill>
            <a:srgbClr val="000000"/>
          </a:solidFill>
          <a:prstDash val="dash"/>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10</xdr:col>
      <xdr:colOff>1</xdr:colOff>
      <xdr:row>0</xdr:row>
      <xdr:rowOff>1</xdr:rowOff>
    </xdr:from>
    <xdr:to>
      <xdr:col>12</xdr:col>
      <xdr:colOff>189</xdr:colOff>
      <xdr:row>5</xdr:row>
      <xdr:rowOff>22414</xdr:rowOff>
    </xdr:to>
    <xdr:pic>
      <xdr:nvPicPr>
        <xdr:cNvPr id="2" name="Grafik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27701" y="1"/>
          <a:ext cx="822513" cy="82251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50</xdr:row>
      <xdr:rowOff>0</xdr:rowOff>
    </xdr:from>
    <xdr:to>
      <xdr:col>4</xdr:col>
      <xdr:colOff>0</xdr:colOff>
      <xdr:row>58</xdr:row>
      <xdr:rowOff>0</xdr:rowOff>
    </xdr:to>
    <xdr:sp macro="" textlink="">
      <xdr:nvSpPr>
        <xdr:cNvPr id="41897" name="Rectangle 1">
          <a:extLst>
            <a:ext uri="{FF2B5EF4-FFF2-40B4-BE49-F238E27FC236}">
              <a16:creationId xmlns:a16="http://schemas.microsoft.com/office/drawing/2014/main" id="{00000000-0008-0000-0C00-0000A9A30000}"/>
            </a:ext>
          </a:extLst>
        </xdr:cNvPr>
        <xdr:cNvSpPr>
          <a:spLocks noChangeArrowheads="1"/>
        </xdr:cNvSpPr>
      </xdr:nvSpPr>
      <xdr:spPr bwMode="auto">
        <a:xfrm>
          <a:off x="0" y="9906000"/>
          <a:ext cx="2293620" cy="137160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alpha val="50195"/>
                </a:srgbClr>
              </a:solidFill>
            </a14:hiddenFill>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41898" name="Line 2">
          <a:extLst>
            <a:ext uri="{FF2B5EF4-FFF2-40B4-BE49-F238E27FC236}">
              <a16:creationId xmlns:a16="http://schemas.microsoft.com/office/drawing/2014/main" id="{00000000-0008-0000-0C00-0000AAA30000}"/>
            </a:ext>
          </a:extLst>
        </xdr:cNvPr>
        <xdr:cNvSpPr>
          <a:spLocks noChangeShapeType="1"/>
        </xdr:cNvSpPr>
      </xdr:nvSpPr>
      <xdr:spPr bwMode="auto">
        <a:xfrm>
          <a:off x="0" y="10599420"/>
          <a:ext cx="229362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50</xdr:row>
      <xdr:rowOff>0</xdr:rowOff>
    </xdr:from>
    <xdr:to>
      <xdr:col>4</xdr:col>
      <xdr:colOff>0</xdr:colOff>
      <xdr:row>57</xdr:row>
      <xdr:rowOff>167640</xdr:rowOff>
    </xdr:to>
    <xdr:sp macro="" textlink="">
      <xdr:nvSpPr>
        <xdr:cNvPr id="41899" name="Rectangle 3">
          <a:extLst>
            <a:ext uri="{FF2B5EF4-FFF2-40B4-BE49-F238E27FC236}">
              <a16:creationId xmlns:a16="http://schemas.microsoft.com/office/drawing/2014/main" id="{00000000-0008-0000-0C00-0000ABA30000}"/>
            </a:ext>
          </a:extLst>
        </xdr:cNvPr>
        <xdr:cNvSpPr>
          <a:spLocks noChangeArrowheads="1"/>
        </xdr:cNvSpPr>
      </xdr:nvSpPr>
      <xdr:spPr bwMode="auto">
        <a:xfrm>
          <a:off x="0" y="9906000"/>
          <a:ext cx="2293620" cy="1363980"/>
        </a:xfrm>
        <a:prstGeom prst="rect">
          <a:avLst/>
        </a:prstGeom>
        <a:noFill/>
        <a:ln w="9360">
          <a:solidFill>
            <a:srgbClr val="00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41900" name="Line 4">
          <a:extLst>
            <a:ext uri="{FF2B5EF4-FFF2-40B4-BE49-F238E27FC236}">
              <a16:creationId xmlns:a16="http://schemas.microsoft.com/office/drawing/2014/main" id="{00000000-0008-0000-0C00-0000ACA30000}"/>
            </a:ext>
          </a:extLst>
        </xdr:cNvPr>
        <xdr:cNvSpPr>
          <a:spLocks noChangeShapeType="1"/>
        </xdr:cNvSpPr>
      </xdr:nvSpPr>
      <xdr:spPr bwMode="auto">
        <a:xfrm>
          <a:off x="0" y="10599420"/>
          <a:ext cx="2293620" cy="0"/>
        </a:xfrm>
        <a:prstGeom prst="line">
          <a:avLst/>
        </a:prstGeom>
        <a:noFill/>
        <a:ln w="9360">
          <a:solidFill>
            <a:srgbClr val="000000"/>
          </a:solidFill>
          <a:prstDash val="dash"/>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10</xdr:col>
      <xdr:colOff>1</xdr:colOff>
      <xdr:row>0</xdr:row>
      <xdr:rowOff>1</xdr:rowOff>
    </xdr:from>
    <xdr:to>
      <xdr:col>12</xdr:col>
      <xdr:colOff>189</xdr:colOff>
      <xdr:row>5</xdr:row>
      <xdr:rowOff>28764</xdr:rowOff>
    </xdr:to>
    <xdr:pic>
      <xdr:nvPicPr>
        <xdr:cNvPr id="2" name="Grafik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21351" y="1"/>
          <a:ext cx="822513" cy="8225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47</xdr:row>
      <xdr:rowOff>0</xdr:rowOff>
    </xdr:from>
    <xdr:to>
      <xdr:col>4</xdr:col>
      <xdr:colOff>0</xdr:colOff>
      <xdr:row>55</xdr:row>
      <xdr:rowOff>0</xdr:rowOff>
    </xdr:to>
    <xdr:sp macro="" textlink="">
      <xdr:nvSpPr>
        <xdr:cNvPr id="29612" name="Rectangle 1">
          <a:extLst>
            <a:ext uri="{FF2B5EF4-FFF2-40B4-BE49-F238E27FC236}">
              <a16:creationId xmlns:a16="http://schemas.microsoft.com/office/drawing/2014/main" id="{00000000-0008-0000-0200-0000AC730000}"/>
            </a:ext>
          </a:extLst>
        </xdr:cNvPr>
        <xdr:cNvSpPr>
          <a:spLocks noChangeArrowheads="1"/>
        </xdr:cNvSpPr>
      </xdr:nvSpPr>
      <xdr:spPr bwMode="auto">
        <a:xfrm>
          <a:off x="0" y="9898380"/>
          <a:ext cx="2301240" cy="137160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alpha val="50195"/>
                </a:srgbClr>
              </a:solidFill>
            </a14:hiddenFill>
          </a:ext>
        </a:extLst>
      </xdr:spPr>
    </xdr:sp>
    <xdr:clientData/>
  </xdr:twoCellAnchor>
  <xdr:twoCellAnchor>
    <xdr:from>
      <xdr:col>0</xdr:col>
      <xdr:colOff>0</xdr:colOff>
      <xdr:row>51</xdr:row>
      <xdr:rowOff>7620</xdr:rowOff>
    </xdr:from>
    <xdr:to>
      <xdr:col>4</xdr:col>
      <xdr:colOff>0</xdr:colOff>
      <xdr:row>51</xdr:row>
      <xdr:rowOff>7620</xdr:rowOff>
    </xdr:to>
    <xdr:sp macro="" textlink="">
      <xdr:nvSpPr>
        <xdr:cNvPr id="29613" name="Line 2">
          <a:extLst>
            <a:ext uri="{FF2B5EF4-FFF2-40B4-BE49-F238E27FC236}">
              <a16:creationId xmlns:a16="http://schemas.microsoft.com/office/drawing/2014/main" id="{00000000-0008-0000-0200-0000AD730000}"/>
            </a:ext>
          </a:extLst>
        </xdr:cNvPr>
        <xdr:cNvSpPr>
          <a:spLocks noChangeShapeType="1"/>
        </xdr:cNvSpPr>
      </xdr:nvSpPr>
      <xdr:spPr bwMode="auto">
        <a:xfrm>
          <a:off x="0" y="10591800"/>
          <a:ext cx="230124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47</xdr:row>
      <xdr:rowOff>0</xdr:rowOff>
    </xdr:from>
    <xdr:to>
      <xdr:col>4</xdr:col>
      <xdr:colOff>0</xdr:colOff>
      <xdr:row>54</xdr:row>
      <xdr:rowOff>167640</xdr:rowOff>
    </xdr:to>
    <xdr:sp macro="" textlink="">
      <xdr:nvSpPr>
        <xdr:cNvPr id="29614" name="Rectangle 3">
          <a:extLst>
            <a:ext uri="{FF2B5EF4-FFF2-40B4-BE49-F238E27FC236}">
              <a16:creationId xmlns:a16="http://schemas.microsoft.com/office/drawing/2014/main" id="{00000000-0008-0000-0200-0000AE730000}"/>
            </a:ext>
          </a:extLst>
        </xdr:cNvPr>
        <xdr:cNvSpPr>
          <a:spLocks noChangeArrowheads="1"/>
        </xdr:cNvSpPr>
      </xdr:nvSpPr>
      <xdr:spPr bwMode="auto">
        <a:xfrm>
          <a:off x="0" y="9898380"/>
          <a:ext cx="2301240" cy="1363980"/>
        </a:xfrm>
        <a:prstGeom prst="rect">
          <a:avLst/>
        </a:prstGeom>
        <a:noFill/>
        <a:ln w="9360">
          <a:solidFill>
            <a:srgbClr val="00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51</xdr:row>
      <xdr:rowOff>7620</xdr:rowOff>
    </xdr:from>
    <xdr:to>
      <xdr:col>4</xdr:col>
      <xdr:colOff>0</xdr:colOff>
      <xdr:row>51</xdr:row>
      <xdr:rowOff>7620</xdr:rowOff>
    </xdr:to>
    <xdr:sp macro="" textlink="">
      <xdr:nvSpPr>
        <xdr:cNvPr id="29615" name="Line 4">
          <a:extLst>
            <a:ext uri="{FF2B5EF4-FFF2-40B4-BE49-F238E27FC236}">
              <a16:creationId xmlns:a16="http://schemas.microsoft.com/office/drawing/2014/main" id="{00000000-0008-0000-0200-0000AF730000}"/>
            </a:ext>
          </a:extLst>
        </xdr:cNvPr>
        <xdr:cNvSpPr>
          <a:spLocks noChangeShapeType="1"/>
        </xdr:cNvSpPr>
      </xdr:nvSpPr>
      <xdr:spPr bwMode="auto">
        <a:xfrm>
          <a:off x="0" y="10591800"/>
          <a:ext cx="2301240" cy="0"/>
        </a:xfrm>
        <a:prstGeom prst="line">
          <a:avLst/>
        </a:prstGeom>
        <a:noFill/>
        <a:ln w="9360">
          <a:solidFill>
            <a:srgbClr val="000000"/>
          </a:solidFill>
          <a:prstDash val="dash"/>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9</xdr:col>
      <xdr:colOff>717551</xdr:colOff>
      <xdr:row>0</xdr:row>
      <xdr:rowOff>0</xdr:rowOff>
    </xdr:from>
    <xdr:to>
      <xdr:col>11</xdr:col>
      <xdr:colOff>498664</xdr:colOff>
      <xdr:row>5</xdr:row>
      <xdr:rowOff>41463</xdr:rowOff>
    </xdr:to>
    <xdr:pic>
      <xdr:nvPicPr>
        <xdr:cNvPr id="2" name="Grafik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01" y="0"/>
          <a:ext cx="822513" cy="82251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50</xdr:row>
      <xdr:rowOff>0</xdr:rowOff>
    </xdr:from>
    <xdr:to>
      <xdr:col>4</xdr:col>
      <xdr:colOff>0</xdr:colOff>
      <xdr:row>58</xdr:row>
      <xdr:rowOff>0</xdr:rowOff>
    </xdr:to>
    <xdr:sp macro="" textlink="">
      <xdr:nvSpPr>
        <xdr:cNvPr id="28582" name="Rectangle 1">
          <a:extLst>
            <a:ext uri="{FF2B5EF4-FFF2-40B4-BE49-F238E27FC236}">
              <a16:creationId xmlns:a16="http://schemas.microsoft.com/office/drawing/2014/main" id="{00000000-0008-0000-0300-0000A66F0000}"/>
            </a:ext>
          </a:extLst>
        </xdr:cNvPr>
        <xdr:cNvSpPr>
          <a:spLocks noChangeArrowheads="1"/>
        </xdr:cNvSpPr>
      </xdr:nvSpPr>
      <xdr:spPr bwMode="auto">
        <a:xfrm>
          <a:off x="0" y="9906000"/>
          <a:ext cx="2286000" cy="137160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alpha val="50195"/>
                </a:srgbClr>
              </a:solidFill>
            </a14:hiddenFill>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28583" name="Line 2">
          <a:extLst>
            <a:ext uri="{FF2B5EF4-FFF2-40B4-BE49-F238E27FC236}">
              <a16:creationId xmlns:a16="http://schemas.microsoft.com/office/drawing/2014/main" id="{00000000-0008-0000-0300-0000A76F0000}"/>
            </a:ext>
          </a:extLst>
        </xdr:cNvPr>
        <xdr:cNvSpPr>
          <a:spLocks noChangeShapeType="1"/>
        </xdr:cNvSpPr>
      </xdr:nvSpPr>
      <xdr:spPr bwMode="auto">
        <a:xfrm>
          <a:off x="0" y="10599420"/>
          <a:ext cx="228600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50</xdr:row>
      <xdr:rowOff>0</xdr:rowOff>
    </xdr:from>
    <xdr:to>
      <xdr:col>4</xdr:col>
      <xdr:colOff>0</xdr:colOff>
      <xdr:row>57</xdr:row>
      <xdr:rowOff>167640</xdr:rowOff>
    </xdr:to>
    <xdr:sp macro="" textlink="">
      <xdr:nvSpPr>
        <xdr:cNvPr id="28584" name="Rectangle 3">
          <a:extLst>
            <a:ext uri="{FF2B5EF4-FFF2-40B4-BE49-F238E27FC236}">
              <a16:creationId xmlns:a16="http://schemas.microsoft.com/office/drawing/2014/main" id="{00000000-0008-0000-0300-0000A86F0000}"/>
            </a:ext>
          </a:extLst>
        </xdr:cNvPr>
        <xdr:cNvSpPr>
          <a:spLocks noChangeArrowheads="1"/>
        </xdr:cNvSpPr>
      </xdr:nvSpPr>
      <xdr:spPr bwMode="auto">
        <a:xfrm>
          <a:off x="0" y="9906000"/>
          <a:ext cx="2286000" cy="1363980"/>
        </a:xfrm>
        <a:prstGeom prst="rect">
          <a:avLst/>
        </a:prstGeom>
        <a:noFill/>
        <a:ln w="9360">
          <a:solidFill>
            <a:srgbClr val="00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28585" name="Line 4">
          <a:extLst>
            <a:ext uri="{FF2B5EF4-FFF2-40B4-BE49-F238E27FC236}">
              <a16:creationId xmlns:a16="http://schemas.microsoft.com/office/drawing/2014/main" id="{00000000-0008-0000-0300-0000A96F0000}"/>
            </a:ext>
          </a:extLst>
        </xdr:cNvPr>
        <xdr:cNvSpPr>
          <a:spLocks noChangeShapeType="1"/>
        </xdr:cNvSpPr>
      </xdr:nvSpPr>
      <xdr:spPr bwMode="auto">
        <a:xfrm>
          <a:off x="0" y="10599420"/>
          <a:ext cx="2286000" cy="0"/>
        </a:xfrm>
        <a:prstGeom prst="line">
          <a:avLst/>
        </a:prstGeom>
        <a:noFill/>
        <a:ln w="9360">
          <a:solidFill>
            <a:srgbClr val="000000"/>
          </a:solidFill>
          <a:prstDash val="dash"/>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9</xdr:col>
      <xdr:colOff>717551</xdr:colOff>
      <xdr:row>0</xdr:row>
      <xdr:rowOff>0</xdr:rowOff>
    </xdr:from>
    <xdr:to>
      <xdr:col>11</xdr:col>
      <xdr:colOff>498664</xdr:colOff>
      <xdr:row>5</xdr:row>
      <xdr:rowOff>22413</xdr:rowOff>
    </xdr:to>
    <xdr:pic>
      <xdr:nvPicPr>
        <xdr:cNvPr id="2" name="Grafik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683251" y="0"/>
          <a:ext cx="822513" cy="82251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49</xdr:row>
      <xdr:rowOff>0</xdr:rowOff>
    </xdr:from>
    <xdr:to>
      <xdr:col>4</xdr:col>
      <xdr:colOff>0</xdr:colOff>
      <xdr:row>57</xdr:row>
      <xdr:rowOff>0</xdr:rowOff>
    </xdr:to>
    <xdr:sp macro="" textlink="">
      <xdr:nvSpPr>
        <xdr:cNvPr id="31654" name="Rectangle 1">
          <a:extLst>
            <a:ext uri="{FF2B5EF4-FFF2-40B4-BE49-F238E27FC236}">
              <a16:creationId xmlns:a16="http://schemas.microsoft.com/office/drawing/2014/main" id="{00000000-0008-0000-0400-0000A67B0000}"/>
            </a:ext>
          </a:extLst>
        </xdr:cNvPr>
        <xdr:cNvSpPr>
          <a:spLocks noChangeArrowheads="1"/>
        </xdr:cNvSpPr>
      </xdr:nvSpPr>
      <xdr:spPr bwMode="auto">
        <a:xfrm>
          <a:off x="0" y="9906000"/>
          <a:ext cx="2293620" cy="137160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alpha val="50195"/>
                </a:srgbClr>
              </a:solidFill>
            </a14:hiddenFill>
          </a:ext>
        </a:extLst>
      </xdr:spPr>
    </xdr:sp>
    <xdr:clientData/>
  </xdr:twoCellAnchor>
  <xdr:twoCellAnchor>
    <xdr:from>
      <xdr:col>0</xdr:col>
      <xdr:colOff>0</xdr:colOff>
      <xdr:row>53</xdr:row>
      <xdr:rowOff>7620</xdr:rowOff>
    </xdr:from>
    <xdr:to>
      <xdr:col>4</xdr:col>
      <xdr:colOff>0</xdr:colOff>
      <xdr:row>53</xdr:row>
      <xdr:rowOff>7620</xdr:rowOff>
    </xdr:to>
    <xdr:sp macro="" textlink="">
      <xdr:nvSpPr>
        <xdr:cNvPr id="31655" name="Line 2">
          <a:extLst>
            <a:ext uri="{FF2B5EF4-FFF2-40B4-BE49-F238E27FC236}">
              <a16:creationId xmlns:a16="http://schemas.microsoft.com/office/drawing/2014/main" id="{00000000-0008-0000-0400-0000A77B0000}"/>
            </a:ext>
          </a:extLst>
        </xdr:cNvPr>
        <xdr:cNvSpPr>
          <a:spLocks noChangeShapeType="1"/>
        </xdr:cNvSpPr>
      </xdr:nvSpPr>
      <xdr:spPr bwMode="auto">
        <a:xfrm>
          <a:off x="0" y="10599420"/>
          <a:ext cx="229362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49</xdr:row>
      <xdr:rowOff>0</xdr:rowOff>
    </xdr:from>
    <xdr:to>
      <xdr:col>4</xdr:col>
      <xdr:colOff>0</xdr:colOff>
      <xdr:row>56</xdr:row>
      <xdr:rowOff>167640</xdr:rowOff>
    </xdr:to>
    <xdr:sp macro="" textlink="">
      <xdr:nvSpPr>
        <xdr:cNvPr id="31656" name="Rectangle 3">
          <a:extLst>
            <a:ext uri="{FF2B5EF4-FFF2-40B4-BE49-F238E27FC236}">
              <a16:creationId xmlns:a16="http://schemas.microsoft.com/office/drawing/2014/main" id="{00000000-0008-0000-0400-0000A87B0000}"/>
            </a:ext>
          </a:extLst>
        </xdr:cNvPr>
        <xdr:cNvSpPr>
          <a:spLocks noChangeArrowheads="1"/>
        </xdr:cNvSpPr>
      </xdr:nvSpPr>
      <xdr:spPr bwMode="auto">
        <a:xfrm>
          <a:off x="0" y="9906000"/>
          <a:ext cx="2293620" cy="1363980"/>
        </a:xfrm>
        <a:prstGeom prst="rect">
          <a:avLst/>
        </a:prstGeom>
        <a:noFill/>
        <a:ln w="9360">
          <a:solidFill>
            <a:srgbClr val="00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53</xdr:row>
      <xdr:rowOff>7620</xdr:rowOff>
    </xdr:from>
    <xdr:to>
      <xdr:col>4</xdr:col>
      <xdr:colOff>0</xdr:colOff>
      <xdr:row>53</xdr:row>
      <xdr:rowOff>7620</xdr:rowOff>
    </xdr:to>
    <xdr:sp macro="" textlink="">
      <xdr:nvSpPr>
        <xdr:cNvPr id="31657" name="Line 4">
          <a:extLst>
            <a:ext uri="{FF2B5EF4-FFF2-40B4-BE49-F238E27FC236}">
              <a16:creationId xmlns:a16="http://schemas.microsoft.com/office/drawing/2014/main" id="{00000000-0008-0000-0400-0000A97B0000}"/>
            </a:ext>
          </a:extLst>
        </xdr:cNvPr>
        <xdr:cNvSpPr>
          <a:spLocks noChangeShapeType="1"/>
        </xdr:cNvSpPr>
      </xdr:nvSpPr>
      <xdr:spPr bwMode="auto">
        <a:xfrm>
          <a:off x="0" y="10599420"/>
          <a:ext cx="2293620" cy="0"/>
        </a:xfrm>
        <a:prstGeom prst="line">
          <a:avLst/>
        </a:prstGeom>
        <a:noFill/>
        <a:ln w="9360">
          <a:solidFill>
            <a:srgbClr val="000000"/>
          </a:solidFill>
          <a:prstDash val="dash"/>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10</xdr:col>
      <xdr:colOff>1</xdr:colOff>
      <xdr:row>0</xdr:row>
      <xdr:rowOff>1</xdr:rowOff>
    </xdr:from>
    <xdr:to>
      <xdr:col>12</xdr:col>
      <xdr:colOff>189</xdr:colOff>
      <xdr:row>5</xdr:row>
      <xdr:rowOff>22414</xdr:rowOff>
    </xdr:to>
    <xdr:pic>
      <xdr:nvPicPr>
        <xdr:cNvPr id="2" name="Grafik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34051" y="1"/>
          <a:ext cx="822513" cy="82251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50</xdr:row>
      <xdr:rowOff>0</xdr:rowOff>
    </xdr:from>
    <xdr:to>
      <xdr:col>4</xdr:col>
      <xdr:colOff>0</xdr:colOff>
      <xdr:row>58</xdr:row>
      <xdr:rowOff>0</xdr:rowOff>
    </xdr:to>
    <xdr:sp macro="" textlink="">
      <xdr:nvSpPr>
        <xdr:cNvPr id="32685" name="Rectangle 1">
          <a:extLst>
            <a:ext uri="{FF2B5EF4-FFF2-40B4-BE49-F238E27FC236}">
              <a16:creationId xmlns:a16="http://schemas.microsoft.com/office/drawing/2014/main" id="{00000000-0008-0000-0500-0000AD7F0000}"/>
            </a:ext>
          </a:extLst>
        </xdr:cNvPr>
        <xdr:cNvSpPr>
          <a:spLocks noChangeArrowheads="1"/>
        </xdr:cNvSpPr>
      </xdr:nvSpPr>
      <xdr:spPr bwMode="auto">
        <a:xfrm>
          <a:off x="0" y="9906000"/>
          <a:ext cx="2293620" cy="137160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alpha val="50195"/>
                </a:srgbClr>
              </a:solidFill>
            </a14:hiddenFill>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32686" name="Line 2">
          <a:extLst>
            <a:ext uri="{FF2B5EF4-FFF2-40B4-BE49-F238E27FC236}">
              <a16:creationId xmlns:a16="http://schemas.microsoft.com/office/drawing/2014/main" id="{00000000-0008-0000-0500-0000AE7F0000}"/>
            </a:ext>
          </a:extLst>
        </xdr:cNvPr>
        <xdr:cNvSpPr>
          <a:spLocks noChangeShapeType="1"/>
        </xdr:cNvSpPr>
      </xdr:nvSpPr>
      <xdr:spPr bwMode="auto">
        <a:xfrm>
          <a:off x="0" y="10599420"/>
          <a:ext cx="229362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50</xdr:row>
      <xdr:rowOff>0</xdr:rowOff>
    </xdr:from>
    <xdr:to>
      <xdr:col>4</xdr:col>
      <xdr:colOff>0</xdr:colOff>
      <xdr:row>57</xdr:row>
      <xdr:rowOff>167640</xdr:rowOff>
    </xdr:to>
    <xdr:sp macro="" textlink="">
      <xdr:nvSpPr>
        <xdr:cNvPr id="32687" name="Rectangle 3">
          <a:extLst>
            <a:ext uri="{FF2B5EF4-FFF2-40B4-BE49-F238E27FC236}">
              <a16:creationId xmlns:a16="http://schemas.microsoft.com/office/drawing/2014/main" id="{00000000-0008-0000-0500-0000AF7F0000}"/>
            </a:ext>
          </a:extLst>
        </xdr:cNvPr>
        <xdr:cNvSpPr>
          <a:spLocks noChangeArrowheads="1"/>
        </xdr:cNvSpPr>
      </xdr:nvSpPr>
      <xdr:spPr bwMode="auto">
        <a:xfrm>
          <a:off x="0" y="9906000"/>
          <a:ext cx="2293620" cy="1363980"/>
        </a:xfrm>
        <a:prstGeom prst="rect">
          <a:avLst/>
        </a:prstGeom>
        <a:noFill/>
        <a:ln w="9360">
          <a:solidFill>
            <a:srgbClr val="00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32688" name="Line 4">
          <a:extLst>
            <a:ext uri="{FF2B5EF4-FFF2-40B4-BE49-F238E27FC236}">
              <a16:creationId xmlns:a16="http://schemas.microsoft.com/office/drawing/2014/main" id="{00000000-0008-0000-0500-0000B07F0000}"/>
            </a:ext>
          </a:extLst>
        </xdr:cNvPr>
        <xdr:cNvSpPr>
          <a:spLocks noChangeShapeType="1"/>
        </xdr:cNvSpPr>
      </xdr:nvSpPr>
      <xdr:spPr bwMode="auto">
        <a:xfrm>
          <a:off x="0" y="10599420"/>
          <a:ext cx="2293620" cy="0"/>
        </a:xfrm>
        <a:prstGeom prst="line">
          <a:avLst/>
        </a:prstGeom>
        <a:noFill/>
        <a:ln w="9360">
          <a:solidFill>
            <a:srgbClr val="000000"/>
          </a:solidFill>
          <a:prstDash val="dash"/>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10</xdr:col>
      <xdr:colOff>1</xdr:colOff>
      <xdr:row>0</xdr:row>
      <xdr:rowOff>1</xdr:rowOff>
    </xdr:from>
    <xdr:to>
      <xdr:col>12</xdr:col>
      <xdr:colOff>189</xdr:colOff>
      <xdr:row>5</xdr:row>
      <xdr:rowOff>28764</xdr:rowOff>
    </xdr:to>
    <xdr:pic>
      <xdr:nvPicPr>
        <xdr:cNvPr id="2" name="Grafik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40401" y="1"/>
          <a:ext cx="822513" cy="82251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49</xdr:row>
      <xdr:rowOff>0</xdr:rowOff>
    </xdr:from>
    <xdr:to>
      <xdr:col>4</xdr:col>
      <xdr:colOff>0</xdr:colOff>
      <xdr:row>57</xdr:row>
      <xdr:rowOff>0</xdr:rowOff>
    </xdr:to>
    <xdr:sp macro="" textlink="">
      <xdr:nvSpPr>
        <xdr:cNvPr id="33719" name="Rectangle 1">
          <a:extLst>
            <a:ext uri="{FF2B5EF4-FFF2-40B4-BE49-F238E27FC236}">
              <a16:creationId xmlns:a16="http://schemas.microsoft.com/office/drawing/2014/main" id="{00000000-0008-0000-0600-0000B7830000}"/>
            </a:ext>
          </a:extLst>
        </xdr:cNvPr>
        <xdr:cNvSpPr>
          <a:spLocks noChangeArrowheads="1"/>
        </xdr:cNvSpPr>
      </xdr:nvSpPr>
      <xdr:spPr bwMode="auto">
        <a:xfrm>
          <a:off x="0" y="9906000"/>
          <a:ext cx="2293620" cy="137160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alpha val="50195"/>
                </a:srgbClr>
              </a:solidFill>
            </a14:hiddenFill>
          </a:ext>
        </a:extLst>
      </xdr:spPr>
    </xdr:sp>
    <xdr:clientData/>
  </xdr:twoCellAnchor>
  <xdr:twoCellAnchor>
    <xdr:from>
      <xdr:col>0</xdr:col>
      <xdr:colOff>0</xdr:colOff>
      <xdr:row>53</xdr:row>
      <xdr:rowOff>7620</xdr:rowOff>
    </xdr:from>
    <xdr:to>
      <xdr:col>4</xdr:col>
      <xdr:colOff>0</xdr:colOff>
      <xdr:row>53</xdr:row>
      <xdr:rowOff>7620</xdr:rowOff>
    </xdr:to>
    <xdr:sp macro="" textlink="">
      <xdr:nvSpPr>
        <xdr:cNvPr id="33720" name="Line 2">
          <a:extLst>
            <a:ext uri="{FF2B5EF4-FFF2-40B4-BE49-F238E27FC236}">
              <a16:creationId xmlns:a16="http://schemas.microsoft.com/office/drawing/2014/main" id="{00000000-0008-0000-0600-0000B8830000}"/>
            </a:ext>
          </a:extLst>
        </xdr:cNvPr>
        <xdr:cNvSpPr>
          <a:spLocks noChangeShapeType="1"/>
        </xdr:cNvSpPr>
      </xdr:nvSpPr>
      <xdr:spPr bwMode="auto">
        <a:xfrm>
          <a:off x="0" y="10599420"/>
          <a:ext cx="229362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49</xdr:row>
      <xdr:rowOff>0</xdr:rowOff>
    </xdr:from>
    <xdr:to>
      <xdr:col>4</xdr:col>
      <xdr:colOff>0</xdr:colOff>
      <xdr:row>56</xdr:row>
      <xdr:rowOff>167640</xdr:rowOff>
    </xdr:to>
    <xdr:sp macro="" textlink="">
      <xdr:nvSpPr>
        <xdr:cNvPr id="33721" name="Rectangle 3">
          <a:extLst>
            <a:ext uri="{FF2B5EF4-FFF2-40B4-BE49-F238E27FC236}">
              <a16:creationId xmlns:a16="http://schemas.microsoft.com/office/drawing/2014/main" id="{00000000-0008-0000-0600-0000B9830000}"/>
            </a:ext>
          </a:extLst>
        </xdr:cNvPr>
        <xdr:cNvSpPr>
          <a:spLocks noChangeArrowheads="1"/>
        </xdr:cNvSpPr>
      </xdr:nvSpPr>
      <xdr:spPr bwMode="auto">
        <a:xfrm>
          <a:off x="0" y="9906000"/>
          <a:ext cx="2293620" cy="1363980"/>
        </a:xfrm>
        <a:prstGeom prst="rect">
          <a:avLst/>
        </a:prstGeom>
        <a:noFill/>
        <a:ln w="9360">
          <a:solidFill>
            <a:srgbClr val="00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53</xdr:row>
      <xdr:rowOff>7620</xdr:rowOff>
    </xdr:from>
    <xdr:to>
      <xdr:col>4</xdr:col>
      <xdr:colOff>0</xdr:colOff>
      <xdr:row>53</xdr:row>
      <xdr:rowOff>7620</xdr:rowOff>
    </xdr:to>
    <xdr:sp macro="" textlink="">
      <xdr:nvSpPr>
        <xdr:cNvPr id="33722" name="Line 4">
          <a:extLst>
            <a:ext uri="{FF2B5EF4-FFF2-40B4-BE49-F238E27FC236}">
              <a16:creationId xmlns:a16="http://schemas.microsoft.com/office/drawing/2014/main" id="{00000000-0008-0000-0600-0000BA830000}"/>
            </a:ext>
          </a:extLst>
        </xdr:cNvPr>
        <xdr:cNvSpPr>
          <a:spLocks noChangeShapeType="1"/>
        </xdr:cNvSpPr>
      </xdr:nvSpPr>
      <xdr:spPr bwMode="auto">
        <a:xfrm>
          <a:off x="0" y="10599420"/>
          <a:ext cx="2293620" cy="0"/>
        </a:xfrm>
        <a:prstGeom prst="line">
          <a:avLst/>
        </a:prstGeom>
        <a:noFill/>
        <a:ln w="9360">
          <a:solidFill>
            <a:srgbClr val="000000"/>
          </a:solidFill>
          <a:prstDash val="dash"/>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10</xdr:col>
      <xdr:colOff>1</xdr:colOff>
      <xdr:row>0</xdr:row>
      <xdr:rowOff>1</xdr:rowOff>
    </xdr:from>
    <xdr:to>
      <xdr:col>12</xdr:col>
      <xdr:colOff>189</xdr:colOff>
      <xdr:row>5</xdr:row>
      <xdr:rowOff>85914</xdr:rowOff>
    </xdr:to>
    <xdr:pic>
      <xdr:nvPicPr>
        <xdr:cNvPr id="2" name="Grafik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01" y="1"/>
          <a:ext cx="822513" cy="82251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50</xdr:row>
      <xdr:rowOff>0</xdr:rowOff>
    </xdr:from>
    <xdr:to>
      <xdr:col>4</xdr:col>
      <xdr:colOff>0</xdr:colOff>
      <xdr:row>58</xdr:row>
      <xdr:rowOff>0</xdr:rowOff>
    </xdr:to>
    <xdr:sp macro="" textlink="">
      <xdr:nvSpPr>
        <xdr:cNvPr id="40870" name="Rectangle 1">
          <a:extLst>
            <a:ext uri="{FF2B5EF4-FFF2-40B4-BE49-F238E27FC236}">
              <a16:creationId xmlns:a16="http://schemas.microsoft.com/office/drawing/2014/main" id="{00000000-0008-0000-0700-0000A69F0000}"/>
            </a:ext>
          </a:extLst>
        </xdr:cNvPr>
        <xdr:cNvSpPr>
          <a:spLocks noChangeArrowheads="1"/>
        </xdr:cNvSpPr>
      </xdr:nvSpPr>
      <xdr:spPr bwMode="auto">
        <a:xfrm>
          <a:off x="0" y="9906000"/>
          <a:ext cx="2293620" cy="137160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alpha val="50195"/>
                </a:srgbClr>
              </a:solidFill>
            </a14:hiddenFill>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40871" name="Line 2">
          <a:extLst>
            <a:ext uri="{FF2B5EF4-FFF2-40B4-BE49-F238E27FC236}">
              <a16:creationId xmlns:a16="http://schemas.microsoft.com/office/drawing/2014/main" id="{00000000-0008-0000-0700-0000A79F0000}"/>
            </a:ext>
          </a:extLst>
        </xdr:cNvPr>
        <xdr:cNvSpPr>
          <a:spLocks noChangeShapeType="1"/>
        </xdr:cNvSpPr>
      </xdr:nvSpPr>
      <xdr:spPr bwMode="auto">
        <a:xfrm>
          <a:off x="0" y="10599420"/>
          <a:ext cx="229362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50</xdr:row>
      <xdr:rowOff>0</xdr:rowOff>
    </xdr:from>
    <xdr:to>
      <xdr:col>4</xdr:col>
      <xdr:colOff>0</xdr:colOff>
      <xdr:row>57</xdr:row>
      <xdr:rowOff>167640</xdr:rowOff>
    </xdr:to>
    <xdr:sp macro="" textlink="">
      <xdr:nvSpPr>
        <xdr:cNvPr id="40872" name="Rectangle 3">
          <a:extLst>
            <a:ext uri="{FF2B5EF4-FFF2-40B4-BE49-F238E27FC236}">
              <a16:creationId xmlns:a16="http://schemas.microsoft.com/office/drawing/2014/main" id="{00000000-0008-0000-0700-0000A89F0000}"/>
            </a:ext>
          </a:extLst>
        </xdr:cNvPr>
        <xdr:cNvSpPr>
          <a:spLocks noChangeArrowheads="1"/>
        </xdr:cNvSpPr>
      </xdr:nvSpPr>
      <xdr:spPr bwMode="auto">
        <a:xfrm>
          <a:off x="0" y="9906000"/>
          <a:ext cx="2293620" cy="1363980"/>
        </a:xfrm>
        <a:prstGeom prst="rect">
          <a:avLst/>
        </a:prstGeom>
        <a:noFill/>
        <a:ln w="9360">
          <a:solidFill>
            <a:srgbClr val="00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40873" name="Line 4">
          <a:extLst>
            <a:ext uri="{FF2B5EF4-FFF2-40B4-BE49-F238E27FC236}">
              <a16:creationId xmlns:a16="http://schemas.microsoft.com/office/drawing/2014/main" id="{00000000-0008-0000-0700-0000A99F0000}"/>
            </a:ext>
          </a:extLst>
        </xdr:cNvPr>
        <xdr:cNvSpPr>
          <a:spLocks noChangeShapeType="1"/>
        </xdr:cNvSpPr>
      </xdr:nvSpPr>
      <xdr:spPr bwMode="auto">
        <a:xfrm>
          <a:off x="0" y="10599420"/>
          <a:ext cx="2293620" cy="0"/>
        </a:xfrm>
        <a:prstGeom prst="line">
          <a:avLst/>
        </a:prstGeom>
        <a:noFill/>
        <a:ln w="9360">
          <a:solidFill>
            <a:srgbClr val="000000"/>
          </a:solidFill>
          <a:prstDash val="dash"/>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10</xdr:col>
      <xdr:colOff>1</xdr:colOff>
      <xdr:row>0</xdr:row>
      <xdr:rowOff>1</xdr:rowOff>
    </xdr:from>
    <xdr:to>
      <xdr:col>12</xdr:col>
      <xdr:colOff>189</xdr:colOff>
      <xdr:row>5</xdr:row>
      <xdr:rowOff>28764</xdr:rowOff>
    </xdr:to>
    <xdr:pic>
      <xdr:nvPicPr>
        <xdr:cNvPr id="2" name="Grafik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34051" y="1"/>
          <a:ext cx="822513" cy="82251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50</xdr:row>
      <xdr:rowOff>0</xdr:rowOff>
    </xdr:from>
    <xdr:to>
      <xdr:col>4</xdr:col>
      <xdr:colOff>0</xdr:colOff>
      <xdr:row>58</xdr:row>
      <xdr:rowOff>0</xdr:rowOff>
    </xdr:to>
    <xdr:sp macro="" textlink="">
      <xdr:nvSpPr>
        <xdr:cNvPr id="35750" name="Rectangle 1">
          <a:extLst>
            <a:ext uri="{FF2B5EF4-FFF2-40B4-BE49-F238E27FC236}">
              <a16:creationId xmlns:a16="http://schemas.microsoft.com/office/drawing/2014/main" id="{00000000-0008-0000-0800-0000A68B0000}"/>
            </a:ext>
          </a:extLst>
        </xdr:cNvPr>
        <xdr:cNvSpPr>
          <a:spLocks noChangeArrowheads="1"/>
        </xdr:cNvSpPr>
      </xdr:nvSpPr>
      <xdr:spPr bwMode="auto">
        <a:xfrm>
          <a:off x="0" y="9906000"/>
          <a:ext cx="2293620" cy="137160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alpha val="50195"/>
                </a:srgbClr>
              </a:solidFill>
            </a14:hiddenFill>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35751" name="Line 2">
          <a:extLst>
            <a:ext uri="{FF2B5EF4-FFF2-40B4-BE49-F238E27FC236}">
              <a16:creationId xmlns:a16="http://schemas.microsoft.com/office/drawing/2014/main" id="{00000000-0008-0000-0800-0000A78B0000}"/>
            </a:ext>
          </a:extLst>
        </xdr:cNvPr>
        <xdr:cNvSpPr>
          <a:spLocks noChangeShapeType="1"/>
        </xdr:cNvSpPr>
      </xdr:nvSpPr>
      <xdr:spPr bwMode="auto">
        <a:xfrm>
          <a:off x="0" y="10599420"/>
          <a:ext cx="229362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50</xdr:row>
      <xdr:rowOff>0</xdr:rowOff>
    </xdr:from>
    <xdr:to>
      <xdr:col>4</xdr:col>
      <xdr:colOff>0</xdr:colOff>
      <xdr:row>57</xdr:row>
      <xdr:rowOff>167640</xdr:rowOff>
    </xdr:to>
    <xdr:sp macro="" textlink="">
      <xdr:nvSpPr>
        <xdr:cNvPr id="35752" name="Rectangle 3">
          <a:extLst>
            <a:ext uri="{FF2B5EF4-FFF2-40B4-BE49-F238E27FC236}">
              <a16:creationId xmlns:a16="http://schemas.microsoft.com/office/drawing/2014/main" id="{00000000-0008-0000-0800-0000A88B0000}"/>
            </a:ext>
          </a:extLst>
        </xdr:cNvPr>
        <xdr:cNvSpPr>
          <a:spLocks noChangeArrowheads="1"/>
        </xdr:cNvSpPr>
      </xdr:nvSpPr>
      <xdr:spPr bwMode="auto">
        <a:xfrm>
          <a:off x="0" y="9906000"/>
          <a:ext cx="2293620" cy="1363980"/>
        </a:xfrm>
        <a:prstGeom prst="rect">
          <a:avLst/>
        </a:prstGeom>
        <a:noFill/>
        <a:ln w="9360">
          <a:solidFill>
            <a:srgbClr val="00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35753" name="Line 4">
          <a:extLst>
            <a:ext uri="{FF2B5EF4-FFF2-40B4-BE49-F238E27FC236}">
              <a16:creationId xmlns:a16="http://schemas.microsoft.com/office/drawing/2014/main" id="{00000000-0008-0000-0800-0000A98B0000}"/>
            </a:ext>
          </a:extLst>
        </xdr:cNvPr>
        <xdr:cNvSpPr>
          <a:spLocks noChangeShapeType="1"/>
        </xdr:cNvSpPr>
      </xdr:nvSpPr>
      <xdr:spPr bwMode="auto">
        <a:xfrm>
          <a:off x="0" y="10599420"/>
          <a:ext cx="2293620" cy="0"/>
        </a:xfrm>
        <a:prstGeom prst="line">
          <a:avLst/>
        </a:prstGeom>
        <a:noFill/>
        <a:ln w="9360">
          <a:solidFill>
            <a:srgbClr val="000000"/>
          </a:solidFill>
          <a:prstDash val="dash"/>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10</xdr:col>
      <xdr:colOff>1</xdr:colOff>
      <xdr:row>0</xdr:row>
      <xdr:rowOff>1</xdr:rowOff>
    </xdr:from>
    <xdr:to>
      <xdr:col>12</xdr:col>
      <xdr:colOff>189</xdr:colOff>
      <xdr:row>5</xdr:row>
      <xdr:rowOff>28764</xdr:rowOff>
    </xdr:to>
    <xdr:pic>
      <xdr:nvPicPr>
        <xdr:cNvPr id="2" name="Grafik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27701" y="1"/>
          <a:ext cx="822513" cy="82251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49</xdr:row>
      <xdr:rowOff>0</xdr:rowOff>
    </xdr:from>
    <xdr:to>
      <xdr:col>4</xdr:col>
      <xdr:colOff>0</xdr:colOff>
      <xdr:row>57</xdr:row>
      <xdr:rowOff>0</xdr:rowOff>
    </xdr:to>
    <xdr:sp macro="" textlink="">
      <xdr:nvSpPr>
        <xdr:cNvPr id="38822" name="Rectangle 1">
          <a:extLst>
            <a:ext uri="{FF2B5EF4-FFF2-40B4-BE49-F238E27FC236}">
              <a16:creationId xmlns:a16="http://schemas.microsoft.com/office/drawing/2014/main" id="{00000000-0008-0000-0900-0000A6970000}"/>
            </a:ext>
          </a:extLst>
        </xdr:cNvPr>
        <xdr:cNvSpPr>
          <a:spLocks noChangeArrowheads="1"/>
        </xdr:cNvSpPr>
      </xdr:nvSpPr>
      <xdr:spPr bwMode="auto">
        <a:xfrm>
          <a:off x="0" y="9906000"/>
          <a:ext cx="2293620" cy="137160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alpha val="50195"/>
                </a:srgbClr>
              </a:solidFill>
            </a14:hiddenFill>
          </a:ext>
        </a:extLst>
      </xdr:spPr>
    </xdr:sp>
    <xdr:clientData/>
  </xdr:twoCellAnchor>
  <xdr:twoCellAnchor>
    <xdr:from>
      <xdr:col>0</xdr:col>
      <xdr:colOff>0</xdr:colOff>
      <xdr:row>53</xdr:row>
      <xdr:rowOff>7620</xdr:rowOff>
    </xdr:from>
    <xdr:to>
      <xdr:col>4</xdr:col>
      <xdr:colOff>0</xdr:colOff>
      <xdr:row>53</xdr:row>
      <xdr:rowOff>7620</xdr:rowOff>
    </xdr:to>
    <xdr:sp macro="" textlink="">
      <xdr:nvSpPr>
        <xdr:cNvPr id="38823" name="Line 2">
          <a:extLst>
            <a:ext uri="{FF2B5EF4-FFF2-40B4-BE49-F238E27FC236}">
              <a16:creationId xmlns:a16="http://schemas.microsoft.com/office/drawing/2014/main" id="{00000000-0008-0000-0900-0000A7970000}"/>
            </a:ext>
          </a:extLst>
        </xdr:cNvPr>
        <xdr:cNvSpPr>
          <a:spLocks noChangeShapeType="1"/>
        </xdr:cNvSpPr>
      </xdr:nvSpPr>
      <xdr:spPr bwMode="auto">
        <a:xfrm>
          <a:off x="0" y="10599420"/>
          <a:ext cx="229362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49</xdr:row>
      <xdr:rowOff>0</xdr:rowOff>
    </xdr:from>
    <xdr:to>
      <xdr:col>4</xdr:col>
      <xdr:colOff>0</xdr:colOff>
      <xdr:row>56</xdr:row>
      <xdr:rowOff>167640</xdr:rowOff>
    </xdr:to>
    <xdr:sp macro="" textlink="">
      <xdr:nvSpPr>
        <xdr:cNvPr id="38824" name="Rectangle 3">
          <a:extLst>
            <a:ext uri="{FF2B5EF4-FFF2-40B4-BE49-F238E27FC236}">
              <a16:creationId xmlns:a16="http://schemas.microsoft.com/office/drawing/2014/main" id="{00000000-0008-0000-0900-0000A8970000}"/>
            </a:ext>
          </a:extLst>
        </xdr:cNvPr>
        <xdr:cNvSpPr>
          <a:spLocks noChangeArrowheads="1"/>
        </xdr:cNvSpPr>
      </xdr:nvSpPr>
      <xdr:spPr bwMode="auto">
        <a:xfrm>
          <a:off x="0" y="9906000"/>
          <a:ext cx="2293620" cy="1363980"/>
        </a:xfrm>
        <a:prstGeom prst="rect">
          <a:avLst/>
        </a:prstGeom>
        <a:noFill/>
        <a:ln w="9360">
          <a:solidFill>
            <a:srgbClr val="00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53</xdr:row>
      <xdr:rowOff>7620</xdr:rowOff>
    </xdr:from>
    <xdr:to>
      <xdr:col>4</xdr:col>
      <xdr:colOff>0</xdr:colOff>
      <xdr:row>53</xdr:row>
      <xdr:rowOff>7620</xdr:rowOff>
    </xdr:to>
    <xdr:sp macro="" textlink="">
      <xdr:nvSpPr>
        <xdr:cNvPr id="38825" name="Line 4">
          <a:extLst>
            <a:ext uri="{FF2B5EF4-FFF2-40B4-BE49-F238E27FC236}">
              <a16:creationId xmlns:a16="http://schemas.microsoft.com/office/drawing/2014/main" id="{00000000-0008-0000-0900-0000A9970000}"/>
            </a:ext>
          </a:extLst>
        </xdr:cNvPr>
        <xdr:cNvSpPr>
          <a:spLocks noChangeShapeType="1"/>
        </xdr:cNvSpPr>
      </xdr:nvSpPr>
      <xdr:spPr bwMode="auto">
        <a:xfrm>
          <a:off x="0" y="10599420"/>
          <a:ext cx="2293620" cy="0"/>
        </a:xfrm>
        <a:prstGeom prst="line">
          <a:avLst/>
        </a:prstGeom>
        <a:noFill/>
        <a:ln w="9360">
          <a:solidFill>
            <a:srgbClr val="000000"/>
          </a:solidFill>
          <a:prstDash val="dash"/>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10</xdr:col>
      <xdr:colOff>1</xdr:colOff>
      <xdr:row>0</xdr:row>
      <xdr:rowOff>1</xdr:rowOff>
    </xdr:from>
    <xdr:to>
      <xdr:col>12</xdr:col>
      <xdr:colOff>189</xdr:colOff>
      <xdr:row>5</xdr:row>
      <xdr:rowOff>28764</xdr:rowOff>
    </xdr:to>
    <xdr:pic>
      <xdr:nvPicPr>
        <xdr:cNvPr id="2" name="Grafik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01" y="1"/>
          <a:ext cx="822513" cy="82251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AD71188-11E9-44BA-AA80-6E513754F8D9}" name="Table3" displayName="Table3" ref="A1:B15" totalsRowShown="0" headerRowDxfId="5" dataDxfId="4" headerRowBorderDxfId="291" tableBorderDxfId="292" totalsRowBorderDxfId="290">
  <autoFilter ref="A1:B15" xr:uid="{CAD71188-11E9-44BA-AA80-6E513754F8D9}"/>
  <tableColumns count="2">
    <tableColumn id="1" xr3:uid="{DB778C07-D160-48A2-9860-1353DD44A908}" name="Monat" dataDxfId="7"/>
    <tableColumn id="2" xr3:uid="{57A45E37-1103-4394-8F61-8AC70EB1FE3F}" name="Urlaubstage" dataDxfId="6">
      <calculatedColumnFormula>IF(ISNUMBER(Mantelbogen!$D$30),Mantelbogen!$D$30,0)</calculatedColumnFormula>
    </tableColumn>
  </tableColumns>
  <tableStyleInfo name="TableStyleLight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0AE07C8-38F7-478D-AF94-DE5E33437F95}" name="tblAusgleich" displayName="tblAusgleich" ref="D1:E14" totalsRowShown="0" headerRowDxfId="1" dataDxfId="0">
  <autoFilter ref="D1:E14" xr:uid="{F0AE07C8-38F7-478D-AF94-DE5E33437F95}"/>
  <tableColumns count="2">
    <tableColumn id="1" xr3:uid="{5A77F0B9-208E-47AF-B944-C664E7BA88C8}" name="Monat" dataDxfId="3"/>
    <tableColumn id="2" xr3:uid="{C0B3CDC7-F5AF-45AF-9AAA-29DBA864C0FB}" name="Ausgleichstage" dataDxfId="2"/>
  </tableColumns>
  <tableStyleInfo name="TableStyleLight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7C32DD7-6FC2-407B-BFFD-2C918EF0E497}" name="Table1" displayName="Table1" ref="D1:E4" totalsRowShown="0">
  <autoFilter ref="D1:E4" xr:uid="{3EE58176-6DA9-4386-BF41-434DB50CD612}"/>
  <tableColumns count="2">
    <tableColumn id="1" xr3:uid="{50B6439E-3F36-4EB9-ACBD-EB3A467F649E}" name="Sprache"/>
    <tableColumn id="2" xr3:uid="{19AD40ED-46BF-455A-8A2B-AC75F3B5742E}" name="Code"/>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B7213BB-C210-4183-B278-37AB112E280F}" name="Monate" displayName="Monate" ref="G1:H13" totalsRowShown="0">
  <autoFilter ref="G1:H13" xr:uid="{8F1C9A20-EBCD-42F1-A118-A4257ADAC8F6}"/>
  <tableColumns count="2">
    <tableColumn id="1" xr3:uid="{D499B6F7-A40E-453B-A2FD-8BF651113A2F}" name="Monat" dataDxfId="294"/>
    <tableColumn id="3" xr3:uid="{F5EE0E57-F75F-4C66-95A0-762AC66D66E5}" name="Column1" dataDxfId="293"/>
  </tableColumns>
  <tableStyleInfo name="TableStyleMedium2" showFirstColumn="0" showLastColumn="0" showRowStripes="1" showColumnStripes="0"/>
</table>
</file>

<file path=xl/theme/theme1.xml><?xml version="1.0" encoding="utf-8"?>
<a:theme xmlns:a="http://schemas.openxmlformats.org/drawingml/2006/main" name="Larissa">
  <a:themeElements>
    <a:clrScheme name="Akademie">
      <a:dk1>
        <a:srgbClr val="222222"/>
      </a:dk1>
      <a:lt1>
        <a:sysClr val="window" lastClr="FFFFFF"/>
      </a:lt1>
      <a:dk2>
        <a:srgbClr val="303030"/>
      </a:dk2>
      <a:lt2>
        <a:srgbClr val="DEDEE0"/>
      </a:lt2>
      <a:accent1>
        <a:srgbClr val="0063AF"/>
      </a:accent1>
      <a:accent2>
        <a:srgbClr val="817B6A"/>
      </a:accent2>
      <a:accent3>
        <a:srgbClr val="222222"/>
      </a:accent3>
      <a:accent4>
        <a:srgbClr val="FFFFFF"/>
      </a:accent4>
      <a:accent5>
        <a:srgbClr val="424E5B"/>
      </a:accent5>
      <a:accent6>
        <a:srgbClr val="730E00"/>
      </a:accent6>
      <a:hlink>
        <a:srgbClr val="D26900"/>
      </a:hlink>
      <a:folHlink>
        <a:srgbClr val="D89243"/>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1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table" Target="../tables/table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FF0000"/>
    <pageSetUpPr fitToPage="1"/>
  </sheetPr>
  <dimension ref="A1:E50"/>
  <sheetViews>
    <sheetView zoomScale="85" zoomScaleNormal="85" workbookViewId="0">
      <selection activeCell="D19" sqref="D19"/>
    </sheetView>
  </sheetViews>
  <sheetFormatPr defaultColWidth="11.5703125" defaultRowHeight="12.75" x14ac:dyDescent="0.2"/>
  <cols>
    <col min="1" max="1" width="6.5703125" style="8" customWidth="1"/>
    <col min="2" max="2" width="27.85546875" style="8" customWidth="1"/>
    <col min="3" max="3" width="39" style="8" customWidth="1"/>
    <col min="4" max="4" width="20.42578125" style="8" customWidth="1"/>
    <col min="5" max="16384" width="11.5703125" style="8"/>
  </cols>
  <sheetData>
    <row r="1" spans="1:5" s="7" customFormat="1" ht="18" customHeight="1" x14ac:dyDescent="0.2">
      <c r="A1" s="93" t="s">
        <v>140</v>
      </c>
      <c r="B1" s="93"/>
      <c r="C1" s="93"/>
      <c r="D1" s="93"/>
      <c r="E1" s="9"/>
    </row>
    <row r="2" spans="1:5" s="7" customFormat="1" ht="31.5" customHeight="1" thickBot="1" x14ac:dyDescent="0.25">
      <c r="A2" s="94" t="s">
        <v>139</v>
      </c>
      <c r="B2" s="94"/>
      <c r="C2" s="94"/>
      <c r="D2" s="94"/>
      <c r="E2" s="9"/>
    </row>
    <row r="3" spans="1:5" s="7" customFormat="1" ht="37.5" customHeight="1" thickBot="1" x14ac:dyDescent="0.25">
      <c r="A3" s="10" t="s">
        <v>22</v>
      </c>
      <c r="B3" s="79" t="s">
        <v>134</v>
      </c>
      <c r="C3" s="80"/>
      <c r="D3" s="81"/>
      <c r="E3" s="9"/>
    </row>
    <row r="4" spans="1:5" s="7" customFormat="1" ht="29.25" customHeight="1" thickBot="1" x14ac:dyDescent="0.25">
      <c r="A4" s="10">
        <v>1</v>
      </c>
      <c r="B4" s="11" t="s">
        <v>107</v>
      </c>
      <c r="C4" s="82" t="s">
        <v>73</v>
      </c>
      <c r="D4" s="83"/>
      <c r="E4" s="9"/>
    </row>
    <row r="5" spans="1:5" s="7" customFormat="1" ht="29.25" customHeight="1" thickBot="1" x14ac:dyDescent="0.25">
      <c r="A5" s="10">
        <f>A4+1</f>
        <v>2</v>
      </c>
      <c r="B5" s="12" t="s">
        <v>52</v>
      </c>
      <c r="C5" s="84" t="s">
        <v>17</v>
      </c>
      <c r="D5" s="85">
        <v>2026</v>
      </c>
      <c r="E5" s="9"/>
    </row>
    <row r="6" spans="1:5" ht="23.25" customHeight="1" thickBot="1" x14ac:dyDescent="0.25">
      <c r="A6" s="13">
        <f>A5+1</f>
        <v>3</v>
      </c>
      <c r="B6" s="14" t="s">
        <v>37</v>
      </c>
      <c r="C6" s="86" t="s">
        <v>55</v>
      </c>
      <c r="D6" s="87"/>
      <c r="E6" s="15"/>
    </row>
    <row r="7" spans="1:5" ht="23.25" customHeight="1" thickBot="1" x14ac:dyDescent="0.25">
      <c r="A7" s="13">
        <f t="shared" ref="A7:A17" si="0">A6+1</f>
        <v>4</v>
      </c>
      <c r="B7" s="14" t="s">
        <v>38</v>
      </c>
      <c r="C7" s="86" t="s">
        <v>56</v>
      </c>
      <c r="D7" s="87"/>
      <c r="E7" s="15"/>
    </row>
    <row r="8" spans="1:5" ht="22.5" customHeight="1" thickBot="1" x14ac:dyDescent="0.25">
      <c r="A8" s="13">
        <f t="shared" si="0"/>
        <v>5</v>
      </c>
      <c r="B8" s="12" t="s">
        <v>39</v>
      </c>
      <c r="C8" s="88" t="s">
        <v>70</v>
      </c>
      <c r="D8" s="87"/>
      <c r="E8" s="15"/>
    </row>
    <row r="9" spans="1:5" ht="42" customHeight="1" thickBot="1" x14ac:dyDescent="0.25">
      <c r="A9" s="13">
        <f t="shared" si="0"/>
        <v>6</v>
      </c>
      <c r="B9" s="16" t="s">
        <v>40</v>
      </c>
      <c r="C9" s="17"/>
      <c r="D9" s="18">
        <v>1.6458333333333333</v>
      </c>
      <c r="E9" s="15"/>
    </row>
    <row r="10" spans="1:5" ht="35.450000000000003" customHeight="1" thickBot="1" x14ac:dyDescent="0.25">
      <c r="A10" s="13">
        <f>A9+1</f>
        <v>7</v>
      </c>
      <c r="B10" s="19" t="s">
        <v>103</v>
      </c>
      <c r="C10" s="20"/>
      <c r="D10" s="89">
        <v>1</v>
      </c>
      <c r="E10" s="15"/>
    </row>
    <row r="11" spans="1:5" ht="11.25" hidden="1" customHeight="1" thickBot="1" x14ac:dyDescent="0.25">
      <c r="A11" s="13">
        <f t="shared" si="0"/>
        <v>8</v>
      </c>
      <c r="B11" s="21" t="s">
        <v>23</v>
      </c>
      <c r="C11" s="22"/>
      <c r="D11" s="23">
        <f>+D10</f>
        <v>1</v>
      </c>
      <c r="E11" s="15"/>
    </row>
    <row r="12" spans="1:5" ht="11.25" hidden="1" customHeight="1" thickBot="1" x14ac:dyDescent="0.25">
      <c r="A12" s="13">
        <f t="shared" si="0"/>
        <v>9</v>
      </c>
      <c r="B12" s="21" t="s">
        <v>24</v>
      </c>
      <c r="C12" s="22"/>
      <c r="D12" s="23">
        <f>+IF(D9=1,ROUND((TIME(23,45,0)+TIME(7,0,0)),5),ROUND((TIME(23,45,0)+TIME(5,9,0)),5))</f>
        <v>1.20417</v>
      </c>
      <c r="E12" s="15"/>
    </row>
    <row r="13" spans="1:5" ht="11.25" hidden="1" customHeight="1" thickBot="1" x14ac:dyDescent="0.25">
      <c r="A13" s="13">
        <f t="shared" si="0"/>
        <v>10</v>
      </c>
      <c r="B13" s="21" t="s">
        <v>25</v>
      </c>
      <c r="C13" s="24"/>
      <c r="D13" s="23">
        <f>+D11/2</f>
        <v>0.5</v>
      </c>
      <c r="E13" s="15"/>
    </row>
    <row r="14" spans="1:5" ht="24.75" customHeight="1" thickBot="1" x14ac:dyDescent="0.25">
      <c r="A14" s="13">
        <f>A10+1</f>
        <v>8</v>
      </c>
      <c r="B14" s="25" t="s">
        <v>44</v>
      </c>
      <c r="C14" s="26"/>
      <c r="D14" s="27">
        <f>D9*D10</f>
        <v>1.6458333333333333</v>
      </c>
      <c r="E14" s="15"/>
    </row>
    <row r="15" spans="1:5" ht="11.25" hidden="1" customHeight="1" thickBot="1" x14ac:dyDescent="0.25">
      <c r="A15" s="13">
        <f t="shared" si="0"/>
        <v>9</v>
      </c>
      <c r="B15" s="21" t="s">
        <v>26</v>
      </c>
      <c r="C15" s="28"/>
      <c r="D15" s="29">
        <v>0.5</v>
      </c>
      <c r="E15" s="15"/>
    </row>
    <row r="16" spans="1:5" ht="11.25" hidden="1" customHeight="1" thickBot="1" x14ac:dyDescent="0.25">
      <c r="A16" s="13">
        <f t="shared" si="0"/>
        <v>10</v>
      </c>
      <c r="B16" s="21" t="s">
        <v>27</v>
      </c>
      <c r="C16" s="22"/>
      <c r="D16" s="29">
        <v>0.375</v>
      </c>
      <c r="E16" s="15"/>
    </row>
    <row r="17" spans="1:5" ht="11.25" hidden="1" customHeight="1" thickBot="1" x14ac:dyDescent="0.25">
      <c r="A17" s="13">
        <f t="shared" si="0"/>
        <v>11</v>
      </c>
      <c r="B17" s="30" t="s">
        <v>28</v>
      </c>
      <c r="C17" s="24"/>
      <c r="D17" s="29">
        <v>0.25</v>
      </c>
      <c r="E17" s="15"/>
    </row>
    <row r="18" spans="1:5" ht="57.95" customHeight="1" thickBot="1" x14ac:dyDescent="0.25">
      <c r="A18" s="31">
        <f>A14+1</f>
        <v>9</v>
      </c>
      <c r="B18" s="32" t="s">
        <v>54</v>
      </c>
      <c r="C18" s="33"/>
      <c r="D18" s="34">
        <f>COUNTIF($D$19:$D$23, "&gt;0,02")</f>
        <v>5</v>
      </c>
      <c r="E18" s="15"/>
    </row>
    <row r="19" spans="1:5" ht="21" customHeight="1" thickBot="1" x14ac:dyDescent="0.25">
      <c r="A19" s="13">
        <f>A15+1</f>
        <v>10</v>
      </c>
      <c r="B19" s="35" t="s">
        <v>30</v>
      </c>
      <c r="C19" s="36">
        <f>IF(D19&gt;0.02, ABS(D19-C$24), 0)</f>
        <v>4.1666666666666519E-3</v>
      </c>
      <c r="D19" s="90">
        <v>0.33333333333333331</v>
      </c>
      <c r="E19" s="37"/>
    </row>
    <row r="20" spans="1:5" ht="24.75" customHeight="1" thickBot="1" x14ac:dyDescent="0.25">
      <c r="A20" s="13">
        <f>A16+1</f>
        <v>11</v>
      </c>
      <c r="B20" s="38" t="s">
        <v>31</v>
      </c>
      <c r="C20" s="39">
        <f t="shared" ref="C20:C23" si="1">IF(D20&gt;0.02, ABS(D20-C$24), 0)</f>
        <v>4.1666666666666519E-3</v>
      </c>
      <c r="D20" s="90">
        <v>0.33333333333333331</v>
      </c>
      <c r="E20" s="15"/>
    </row>
    <row r="21" spans="1:5" ht="24.75" customHeight="1" thickBot="1" x14ac:dyDescent="0.25">
      <c r="A21" s="13">
        <f>A17+1</f>
        <v>12</v>
      </c>
      <c r="B21" s="38" t="s">
        <v>32</v>
      </c>
      <c r="C21" s="39">
        <f t="shared" si="1"/>
        <v>4.1666666666666519E-3</v>
      </c>
      <c r="D21" s="90">
        <v>0.33333333333333331</v>
      </c>
      <c r="E21" s="15"/>
    </row>
    <row r="22" spans="1:5" ht="24.75" customHeight="1" thickBot="1" x14ac:dyDescent="0.25">
      <c r="A22" s="13">
        <f>A21+1</f>
        <v>13</v>
      </c>
      <c r="B22" s="40" t="s">
        <v>33</v>
      </c>
      <c r="C22" s="39">
        <f t="shared" si="1"/>
        <v>4.1666666666666519E-3</v>
      </c>
      <c r="D22" s="90">
        <v>0.33333333333333331</v>
      </c>
      <c r="E22" s="15"/>
    </row>
    <row r="23" spans="1:5" ht="24.75" customHeight="1" thickBot="1" x14ac:dyDescent="0.25">
      <c r="A23" s="13">
        <f t="shared" ref="A23:A32" si="2">A22+1</f>
        <v>14</v>
      </c>
      <c r="B23" s="41" t="s">
        <v>34</v>
      </c>
      <c r="C23" s="42">
        <f t="shared" si="1"/>
        <v>1.6666666666666663E-2</v>
      </c>
      <c r="D23" s="90">
        <v>0.3125</v>
      </c>
      <c r="E23" s="15"/>
    </row>
    <row r="24" spans="1:5" ht="24.75" customHeight="1" thickBot="1" x14ac:dyDescent="0.25">
      <c r="A24" s="13">
        <f t="shared" si="2"/>
        <v>15</v>
      </c>
      <c r="B24" s="43" t="s">
        <v>35</v>
      </c>
      <c r="C24" s="44">
        <f>D14/D18</f>
        <v>0.32916666666666666</v>
      </c>
      <c r="D24" s="45">
        <f>SUM(D19:D23)</f>
        <v>1.6458333333333333</v>
      </c>
      <c r="E24" s="15"/>
    </row>
    <row r="25" spans="1:5" ht="21" customHeight="1" thickBot="1" x14ac:dyDescent="0.25">
      <c r="A25" s="31">
        <f t="shared" si="2"/>
        <v>16</v>
      </c>
      <c r="B25" s="46" t="str">
        <f>+IF(ABS(D14-D24)&lt;0.0004,"Verteilung ist summarisch korrekt ","falsche Verteilung der Stunden ")</f>
        <v xml:space="preserve">Verteilung ist summarisch korrekt </v>
      </c>
      <c r="C25" s="47"/>
      <c r="D25" s="48"/>
      <c r="E25" s="15"/>
    </row>
    <row r="26" spans="1:5" ht="24.75" customHeight="1" thickBot="1" x14ac:dyDescent="0.25">
      <c r="A26" s="31">
        <f t="shared" si="2"/>
        <v>17</v>
      </c>
      <c r="B26" s="49" t="s">
        <v>104</v>
      </c>
      <c r="C26" s="50"/>
      <c r="D26" s="51">
        <f>DATE(D5,INDEX(Monate[Column1],MATCH(Mantelbogen!C5,Monate[Monat],0)),1)</f>
        <v>46023</v>
      </c>
      <c r="E26" s="15"/>
    </row>
    <row r="27" spans="1:5" ht="21" customHeight="1" thickBot="1" x14ac:dyDescent="0.25">
      <c r="A27" s="13">
        <f t="shared" si="2"/>
        <v>18</v>
      </c>
      <c r="B27" s="52" t="s">
        <v>36</v>
      </c>
      <c r="C27" s="53" t="s">
        <v>59</v>
      </c>
      <c r="D27" s="54" t="s">
        <v>60</v>
      </c>
      <c r="E27" s="15"/>
    </row>
    <row r="28" spans="1:5" ht="24.75" customHeight="1" thickBot="1" x14ac:dyDescent="0.25">
      <c r="A28" s="13">
        <f t="shared" si="2"/>
        <v>19</v>
      </c>
      <c r="B28" s="55" t="s">
        <v>53</v>
      </c>
      <c r="C28" s="92">
        <v>0</v>
      </c>
      <c r="D28" s="90">
        <v>0</v>
      </c>
      <c r="E28" s="15"/>
    </row>
    <row r="29" spans="1:5" ht="24.75" customHeight="1" thickBot="1" x14ac:dyDescent="0.25">
      <c r="A29" s="13">
        <f t="shared" si="2"/>
        <v>20</v>
      </c>
      <c r="B29" s="55" t="s">
        <v>61</v>
      </c>
      <c r="C29" s="56"/>
      <c r="D29" s="91" t="s">
        <v>132</v>
      </c>
      <c r="E29" s="15"/>
    </row>
    <row r="30" spans="1:5" ht="24.75" customHeight="1" thickBot="1" x14ac:dyDescent="0.25">
      <c r="A30" s="13">
        <f t="shared" si="2"/>
        <v>21</v>
      </c>
      <c r="B30" s="55" t="s">
        <v>62</v>
      </c>
      <c r="C30" s="57" t="str">
        <f>IF(OR(ISTEXT(C29), C29 &lt; 0.001), " ", IF(SUM(C19:C23)/D14 &lt; 0.025, C33, 0))</f>
        <v xml:space="preserve"> </v>
      </c>
      <c r="D30" s="91" t="s">
        <v>132</v>
      </c>
      <c r="E30" s="15"/>
    </row>
    <row r="31" spans="1:5" ht="24.75" customHeight="1" thickBot="1" x14ac:dyDescent="0.25">
      <c r="A31" s="13">
        <f t="shared" si="2"/>
        <v>22</v>
      </c>
      <c r="B31" s="58" t="s">
        <v>29</v>
      </c>
      <c r="C31" s="59"/>
      <c r="D31" s="60"/>
      <c r="E31" s="15"/>
    </row>
    <row r="32" spans="1:5" ht="40.5" customHeight="1" thickBot="1" x14ac:dyDescent="0.25">
      <c r="A32" s="13">
        <f t="shared" si="2"/>
        <v>23</v>
      </c>
      <c r="B32" s="61" t="s">
        <v>112</v>
      </c>
      <c r="C32" s="62"/>
      <c r="D32" s="63"/>
      <c r="E32" s="15"/>
    </row>
    <row r="33" spans="1:5" ht="9.75" customHeight="1" x14ac:dyDescent="0.2">
      <c r="A33" s="15"/>
      <c r="B33" s="64">
        <f>MATCH(C5,{"Januar";"Februar";"März";"April";"Mai";"Juni";"Juli";"August";"September";"Oktober";"November";"Dezember"},0)</f>
        <v>1</v>
      </c>
      <c r="C33" s="65">
        <f>D33*$D18/5</f>
        <v>30</v>
      </c>
      <c r="D33" s="66">
        <v>30</v>
      </c>
      <c r="E33" s="15"/>
    </row>
    <row r="34" spans="1:5" x14ac:dyDescent="0.2">
      <c r="A34" s="64">
        <v>1</v>
      </c>
      <c r="B34" s="67" t="s">
        <v>64</v>
      </c>
      <c r="C34" s="68"/>
      <c r="D34" s="69"/>
      <c r="E34" s="70" t="str">
        <f xml:space="preserve"> IF(OR(ISTEXT(C$29), C$29 &lt; 0.001), " ",#REF!)</f>
        <v xml:space="preserve"> </v>
      </c>
    </row>
    <row r="35" spans="1:5" x14ac:dyDescent="0.2">
      <c r="A35" s="66"/>
      <c r="B35" s="67" t="s">
        <v>66</v>
      </c>
      <c r="C35" s="69"/>
      <c r="D35" s="69"/>
      <c r="E35" s="70" t="str">
        <f>IF(OR(ISTEXT(C$29), C$29 &lt; 0.001), " ", E39)</f>
        <v xml:space="preserve"> </v>
      </c>
    </row>
    <row r="36" spans="1:5" ht="17.45" customHeight="1" x14ac:dyDescent="0.2">
      <c r="A36" s="64">
        <v>2</v>
      </c>
      <c r="B36" s="67" t="s">
        <v>63</v>
      </c>
      <c r="C36" s="69"/>
      <c r="D36" s="69"/>
      <c r="E36" s="70"/>
    </row>
    <row r="37" spans="1:5" ht="12.95" customHeight="1" x14ac:dyDescent="0.2">
      <c r="A37" s="66"/>
      <c r="B37" s="67" t="s">
        <v>68</v>
      </c>
      <c r="C37" s="71" t="s">
        <v>135</v>
      </c>
      <c r="D37" s="69"/>
      <c r="E37" s="70" t="str">
        <f>IF(OR(ISTEXT(C$29), C$29 &lt; 0.001), " ", E41)</f>
        <v xml:space="preserve"> </v>
      </c>
    </row>
    <row r="38" spans="1:5" ht="12.95" customHeight="1" x14ac:dyDescent="0.2">
      <c r="A38" s="66"/>
      <c r="B38" s="67" t="s">
        <v>69</v>
      </c>
      <c r="C38" s="71" t="s">
        <v>136</v>
      </c>
      <c r="D38" s="69"/>
      <c r="E38" s="70"/>
    </row>
    <row r="39" spans="1:5" x14ac:dyDescent="0.2">
      <c r="A39" s="66"/>
      <c r="B39" s="67" t="s">
        <v>137</v>
      </c>
      <c r="C39" s="69"/>
      <c r="D39" s="69"/>
      <c r="E39" s="72"/>
    </row>
    <row r="40" spans="1:5" x14ac:dyDescent="0.2">
      <c r="A40" s="66"/>
      <c r="C40" s="69"/>
      <c r="D40" s="69"/>
      <c r="E40" s="72"/>
    </row>
    <row r="41" spans="1:5" ht="17.45" customHeight="1" x14ac:dyDescent="0.2">
      <c r="A41" s="64">
        <v>3</v>
      </c>
      <c r="B41" s="73" t="s">
        <v>57</v>
      </c>
      <c r="C41" s="69"/>
      <c r="D41" s="69"/>
      <c r="E41" s="74"/>
    </row>
    <row r="42" spans="1:5" x14ac:dyDescent="0.2">
      <c r="A42" s="66"/>
      <c r="B42" s="73" t="s">
        <v>58</v>
      </c>
      <c r="C42" s="69"/>
      <c r="D42" s="69"/>
      <c r="E42" s="15"/>
    </row>
    <row r="43" spans="1:5" ht="17.45" customHeight="1" x14ac:dyDescent="0.2">
      <c r="A43" s="64">
        <v>4</v>
      </c>
      <c r="B43" s="67" t="s">
        <v>49</v>
      </c>
      <c r="C43" s="69"/>
      <c r="D43" s="69"/>
      <c r="E43" s="15"/>
    </row>
    <row r="44" spans="1:5" x14ac:dyDescent="0.2">
      <c r="A44" s="64"/>
      <c r="B44" s="67" t="s">
        <v>50</v>
      </c>
      <c r="C44" s="69"/>
      <c r="D44" s="69"/>
      <c r="E44" s="15"/>
    </row>
    <row r="45" spans="1:5" x14ac:dyDescent="0.2">
      <c r="A45" s="15"/>
      <c r="B45" s="75" t="s">
        <v>138</v>
      </c>
      <c r="C45" s="75"/>
      <c r="D45" s="75"/>
      <c r="E45" s="15"/>
    </row>
    <row r="46" spans="1:5" x14ac:dyDescent="0.2">
      <c r="A46" s="15"/>
      <c r="B46" s="67" t="s">
        <v>51</v>
      </c>
      <c r="C46" s="69"/>
      <c r="D46" s="76"/>
      <c r="E46" s="15"/>
    </row>
    <row r="47" spans="1:5" ht="17.45" customHeight="1" x14ac:dyDescent="0.2">
      <c r="A47" s="64">
        <v>5</v>
      </c>
      <c r="B47" s="67" t="s">
        <v>65</v>
      </c>
      <c r="C47" s="69"/>
      <c r="D47" s="76"/>
      <c r="E47" s="15"/>
    </row>
    <row r="48" spans="1:5" ht="17.45" customHeight="1" x14ac:dyDescent="0.2">
      <c r="A48" s="64"/>
      <c r="B48" s="95" t="s">
        <v>141</v>
      </c>
      <c r="C48" s="69"/>
      <c r="D48" s="96" t="s">
        <v>142</v>
      </c>
      <c r="E48" s="15"/>
    </row>
    <row r="49" spans="1:5" ht="17.45" customHeight="1" x14ac:dyDescent="0.2">
      <c r="A49" s="64"/>
      <c r="C49" s="69"/>
      <c r="D49" s="76"/>
      <c r="E49" s="15"/>
    </row>
    <row r="50" spans="1:5" ht="20.100000000000001" customHeight="1" x14ac:dyDescent="0.2">
      <c r="A50" s="15"/>
      <c r="B50" s="77" t="s">
        <v>67</v>
      </c>
      <c r="C50" s="77" t="s">
        <v>119</v>
      </c>
      <c r="D50" s="78" t="s">
        <v>118</v>
      </c>
      <c r="E50" s="15"/>
    </row>
  </sheetData>
  <sheetProtection algorithmName="SHA-512" hashValue="3ANu/GfmiA/94h2dvf/GDbClRj4PRqfBwr56R2JyVbVpFHRY7cZSM5iIg53rRkEQFXzx0J95WSnhr6p6rDT3zA==" saltValue="2cqLwWnPA7fponPZyzQe3w==" spinCount="100000" sheet="1" objects="1" scenarios="1"/>
  <mergeCells count="14">
    <mergeCell ref="A2:D2"/>
    <mergeCell ref="A1:D1"/>
    <mergeCell ref="C4:D4"/>
    <mergeCell ref="B3:D3"/>
    <mergeCell ref="B45:D45"/>
    <mergeCell ref="B10:C10"/>
    <mergeCell ref="C6:D6"/>
    <mergeCell ref="C7:D7"/>
    <mergeCell ref="C8:D8"/>
    <mergeCell ref="B9:C9"/>
    <mergeCell ref="B18:C18"/>
    <mergeCell ref="B26:C26"/>
    <mergeCell ref="B25:D25"/>
    <mergeCell ref="B32:D32"/>
  </mergeCells>
  <conditionalFormatting sqref="B25">
    <cfRule type="cellIs" dxfId="289" priority="3" stopIfTrue="1" operator="equal">
      <formula>"Verteilung ist summarisch korrekt "</formula>
    </cfRule>
  </conditionalFormatting>
  <dataValidations count="2">
    <dataValidation type="list" allowBlank="1" showInputMessage="1" showErrorMessage="1" sqref="C4" xr:uid="{593985F0-5A99-4CAF-B563-6EC76AF34231}">
      <formula1>"Deutsch,Englisch,Französisch"</formula1>
    </dataValidation>
    <dataValidation type="list" allowBlank="1" showInputMessage="1" showErrorMessage="1" sqref="C5" xr:uid="{3A206532-BA35-4D58-B477-784D0EEB7CF2}">
      <formula1>tblMonate</formula1>
    </dataValidation>
  </dataValidations>
  <printOptions horizontalCentered="1" verticalCentered="1"/>
  <pageMargins left="0.62992125984251968" right="0.35433070866141736" top="0.31496062992125984" bottom="0.19685039370078741" header="0.15748031496062992" footer="0.15748031496062992"/>
  <pageSetup paperSize="9" scale="8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pageSetUpPr fitToPage="1"/>
  </sheetPr>
  <dimension ref="A1:N61"/>
  <sheetViews>
    <sheetView zoomScaleNormal="100" workbookViewId="0">
      <selection sqref="A1:F2"/>
    </sheetView>
  </sheetViews>
  <sheetFormatPr defaultColWidth="11.5703125" defaultRowHeight="12.75" x14ac:dyDescent="0.2"/>
  <cols>
    <col min="1" max="1" width="5.5703125" style="125" customWidth="1"/>
    <col min="2" max="2" width="9.85546875" style="102" bestFit="1" customWidth="1"/>
    <col min="3" max="3" width="15.7109375" style="102" bestFit="1" customWidth="1"/>
    <col min="4" max="4" width="13.7109375" style="102" bestFit="1" customWidth="1"/>
    <col min="5" max="5" width="8.5703125" style="98" customWidth="1"/>
    <col min="6" max="6" width="7.140625" style="98" customWidth="1"/>
    <col min="7" max="7" width="3.42578125" style="98" customWidth="1"/>
    <col min="8" max="8" width="9.140625" style="98" customWidth="1"/>
    <col min="9" max="9" width="11.140625" style="98" bestFit="1" customWidth="1"/>
    <col min="10" max="10" width="12.140625" style="98" bestFit="1" customWidth="1"/>
    <col min="11" max="11" width="2.85546875" style="98" customWidth="1"/>
    <col min="12" max="12" width="8.85546875" style="98" customWidth="1"/>
    <col min="13" max="13" width="16.42578125" style="99" customWidth="1"/>
    <col min="14" max="14" width="18.140625" style="291" customWidth="1"/>
    <col min="15" max="16384" width="11.5703125" style="98"/>
  </cols>
  <sheetData>
    <row r="1" spans="1:12" ht="15.75" customHeight="1" x14ac:dyDescent="0.2">
      <c r="A1" s="215" t="s">
        <v>48</v>
      </c>
      <c r="B1" s="215"/>
      <c r="C1" s="215"/>
      <c r="D1" s="215"/>
      <c r="E1" s="215"/>
      <c r="F1" s="215"/>
      <c r="G1" s="97" t="s">
        <v>9</v>
      </c>
      <c r="H1" s="97"/>
      <c r="I1" s="97"/>
      <c r="J1" s="97"/>
    </row>
    <row r="2" spans="1:12" ht="15.75" customHeight="1" x14ac:dyDescent="0.2">
      <c r="A2" s="215"/>
      <c r="B2" s="215"/>
      <c r="C2" s="215"/>
      <c r="D2" s="215"/>
      <c r="E2" s="215"/>
      <c r="F2" s="215"/>
      <c r="G2" s="97"/>
      <c r="H2" s="97"/>
      <c r="I2" s="97"/>
      <c r="J2" s="97"/>
    </row>
    <row r="3" spans="1:12" x14ac:dyDescent="0.2">
      <c r="A3" s="216" t="s">
        <v>11</v>
      </c>
      <c r="B3" s="216"/>
      <c r="C3" s="216"/>
      <c r="D3" s="216"/>
      <c r="E3" s="216"/>
      <c r="F3" s="216"/>
      <c r="G3" s="97"/>
      <c r="H3" s="97"/>
      <c r="I3" s="97"/>
      <c r="J3" s="97"/>
    </row>
    <row r="4" spans="1:12" ht="13.35" customHeight="1" x14ac:dyDescent="0.2">
      <c r="A4" s="217" t="s">
        <v>5</v>
      </c>
      <c r="B4" s="217"/>
      <c r="C4" s="217"/>
      <c r="D4" s="217"/>
      <c r="E4" s="217"/>
      <c r="F4" s="217"/>
      <c r="G4" s="97"/>
      <c r="H4" s="97"/>
      <c r="I4" s="97"/>
      <c r="J4" s="97"/>
    </row>
    <row r="5" spans="1:12" ht="6" customHeight="1" x14ac:dyDescent="0.2">
      <c r="A5" s="217"/>
      <c r="B5" s="217"/>
      <c r="C5" s="217"/>
      <c r="D5" s="217"/>
      <c r="E5" s="217"/>
      <c r="F5" s="217"/>
      <c r="G5" s="97"/>
      <c r="H5" s="97"/>
      <c r="I5" s="97"/>
      <c r="J5" s="97"/>
    </row>
    <row r="6" spans="1:12" ht="13.35" customHeight="1" x14ac:dyDescent="0.2">
      <c r="A6" s="217"/>
      <c r="B6" s="217"/>
      <c r="C6" s="217"/>
      <c r="D6" s="217"/>
      <c r="E6" s="217"/>
      <c r="F6" s="217"/>
      <c r="G6" s="97"/>
      <c r="H6" s="97"/>
      <c r="I6" s="97"/>
      <c r="J6" s="97"/>
    </row>
    <row r="7" spans="1:12" ht="13.35" customHeight="1" x14ac:dyDescent="0.2">
      <c r="A7" s="101"/>
      <c r="B7" s="101"/>
      <c r="C7" s="101"/>
      <c r="D7" s="101"/>
      <c r="E7" s="101"/>
      <c r="F7" s="101"/>
      <c r="G7" s="97"/>
      <c r="H7" s="97"/>
      <c r="I7" s="97"/>
      <c r="J7" s="97"/>
    </row>
    <row r="8" spans="1:12" ht="6" customHeight="1" thickBot="1" x14ac:dyDescent="0.25">
      <c r="A8" s="103"/>
      <c r="B8" s="104"/>
      <c r="C8" s="104"/>
      <c r="D8" s="104"/>
      <c r="E8" s="105"/>
      <c r="F8" s="105"/>
      <c r="G8" s="105"/>
      <c r="H8" s="105"/>
      <c r="I8" s="106"/>
      <c r="J8" s="106"/>
      <c r="K8" s="107"/>
      <c r="L8" s="108"/>
    </row>
    <row r="9" spans="1:12" ht="6" customHeight="1" x14ac:dyDescent="0.2">
      <c r="A9" s="109"/>
      <c r="B9" s="110"/>
      <c r="C9" s="110"/>
      <c r="D9" s="110"/>
      <c r="E9" s="111"/>
      <c r="F9" s="111"/>
      <c r="G9" s="111"/>
      <c r="H9" s="111"/>
      <c r="I9" s="112"/>
      <c r="J9" s="112"/>
      <c r="K9" s="113"/>
      <c r="L9" s="114"/>
    </row>
    <row r="10" spans="1:12" x14ac:dyDescent="0.2">
      <c r="A10" s="109"/>
      <c r="B10" s="110"/>
      <c r="C10" s="110"/>
      <c r="D10" s="110"/>
      <c r="E10" s="111"/>
      <c r="F10" s="111"/>
      <c r="G10" s="111"/>
      <c r="I10" s="112"/>
      <c r="J10" s="112"/>
      <c r="K10" s="113"/>
      <c r="L10" s="114"/>
    </row>
    <row r="11" spans="1:12" x14ac:dyDescent="0.2">
      <c r="A11" s="115" t="s">
        <v>6</v>
      </c>
      <c r="B11" s="115"/>
      <c r="C11" s="116" t="str">
        <f>Aug!C11</f>
        <v>ATHENE, Pallas</v>
      </c>
      <c r="D11" s="117"/>
      <c r="E11" s="118"/>
      <c r="F11" s="119"/>
      <c r="G11" s="119" t="s">
        <v>8</v>
      </c>
      <c r="H11" s="120"/>
      <c r="I11" s="121">
        <f>DATE(J11,9,1)</f>
        <v>46266</v>
      </c>
      <c r="J11" s="122">
        <f>Jan!J11</f>
        <v>2026</v>
      </c>
      <c r="K11" s="123"/>
      <c r="L11" s="124"/>
    </row>
    <row r="12" spans="1:12" ht="12.95" customHeight="1" x14ac:dyDescent="0.2">
      <c r="B12" s="114"/>
      <c r="C12" s="126"/>
      <c r="D12" s="127"/>
      <c r="E12" s="119"/>
      <c r="F12" s="119"/>
      <c r="G12" s="111"/>
      <c r="I12" s="220" t="s">
        <v>106</v>
      </c>
      <c r="J12" s="220"/>
      <c r="K12" s="220"/>
      <c r="L12" s="220"/>
    </row>
    <row r="13" spans="1:12" ht="29.25" customHeight="1" x14ac:dyDescent="0.2">
      <c r="A13" s="115" t="s">
        <v>7</v>
      </c>
      <c r="B13" s="115"/>
      <c r="C13" s="116" t="str">
        <f>Aug!C13</f>
        <v>Geschäftsstelle</v>
      </c>
      <c r="D13" s="130"/>
      <c r="E13" s="118"/>
      <c r="F13" s="131"/>
      <c r="G13" s="131"/>
      <c r="H13" s="120"/>
      <c r="I13" s="221"/>
      <c r="J13" s="221"/>
      <c r="K13" s="221"/>
      <c r="L13" s="221"/>
    </row>
    <row r="14" spans="1:12" ht="13.5" thickBot="1" x14ac:dyDescent="0.25">
      <c r="K14" s="113"/>
      <c r="L14" s="114"/>
    </row>
    <row r="15" spans="1:12" ht="13.35" customHeight="1" x14ac:dyDescent="0.2">
      <c r="A15" s="231"/>
      <c r="B15" s="231" t="s">
        <v>14</v>
      </c>
      <c r="C15" s="231" t="s">
        <v>110</v>
      </c>
      <c r="D15" s="231" t="s">
        <v>145</v>
      </c>
      <c r="E15" s="231" t="s">
        <v>16</v>
      </c>
      <c r="F15" s="133" t="s">
        <v>143</v>
      </c>
      <c r="G15" s="133"/>
      <c r="H15" s="134" t="s">
        <v>43</v>
      </c>
      <c r="I15" s="136" t="s">
        <v>0</v>
      </c>
      <c r="J15" s="136"/>
      <c r="K15" s="137" t="s">
        <v>41</v>
      </c>
      <c r="L15" s="138"/>
    </row>
    <row r="16" spans="1:12" ht="13.5" thickBot="1" x14ac:dyDescent="0.25">
      <c r="A16" s="237"/>
      <c r="B16" s="237"/>
      <c r="C16" s="237"/>
      <c r="D16" s="237"/>
      <c r="E16" s="237"/>
      <c r="F16" s="133"/>
      <c r="G16" s="133"/>
      <c r="H16" s="141"/>
      <c r="I16" s="143" t="s">
        <v>1</v>
      </c>
      <c r="J16" s="143" t="s">
        <v>2</v>
      </c>
      <c r="K16" s="144"/>
      <c r="L16" s="145"/>
    </row>
    <row r="17" spans="1:14" ht="13.5" customHeight="1" thickBot="1" x14ac:dyDescent="0.25">
      <c r="A17" s="237"/>
      <c r="B17" s="237"/>
      <c r="C17" s="237"/>
      <c r="D17" s="237"/>
      <c r="E17" s="237"/>
      <c r="F17" s="133"/>
      <c r="G17" s="133"/>
      <c r="H17" s="141"/>
      <c r="I17" s="147">
        <f>IF(Mantelbogen!D26=I11,Mantelbogen!C28,Aug!I53)</f>
        <v>1.3541666666666687</v>
      </c>
      <c r="J17" s="148" t="str">
        <f>IF(Mantelbogen!D26=I11,Mantelbogen!D28,Aug!J53)</f>
        <v/>
      </c>
      <c r="K17" s="149" t="str">
        <f>IF(I17/H57 &gt; 1, I17/H57, " " )</f>
        <v xml:space="preserve"> </v>
      </c>
      <c r="L17" s="150"/>
    </row>
    <row r="18" spans="1:14" ht="13.5" customHeight="1" thickBot="1" x14ac:dyDescent="0.25">
      <c r="A18" s="246"/>
      <c r="B18" s="247"/>
      <c r="C18" s="247"/>
      <c r="D18" s="247"/>
      <c r="E18" s="247"/>
      <c r="F18" s="133"/>
      <c r="G18" s="133"/>
      <c r="H18" s="152"/>
      <c r="I18" s="147"/>
      <c r="J18" s="148"/>
      <c r="K18" s="153"/>
      <c r="L18" s="154"/>
    </row>
    <row r="19" spans="1:14" ht="17.45" customHeight="1" x14ac:dyDescent="0.35">
      <c r="A19" s="155">
        <v>1</v>
      </c>
      <c r="B19" s="156" t="str">
        <f>TEXT(DATE(J$11,MONTH(I$11),A19),Textcode)</f>
        <v>Dienstag</v>
      </c>
      <c r="C19" s="157">
        <v>0.35416666666666669</v>
      </c>
      <c r="D19" s="157">
        <v>0.70833333333333337</v>
      </c>
      <c r="E19" s="157">
        <v>2.0833333333333332E-2</v>
      </c>
      <c r="F19" s="158">
        <f>IF(ISTEXT(C19),,D19-C19-E19)</f>
        <v>0.33333333333333337</v>
      </c>
      <c r="G19" s="159"/>
      <c r="H19" s="160">
        <f t="shared" ref="H19:H35" si="0">IF(AND(ISTEXT(C19),ISERR(SEARCH("ausgleich",C19,1))),,INDEX(H$50:H$57,WEEKDAY(DATE(J$11,MONTH(I$11),A19),2),1,1))</f>
        <v>0.33333333333333331</v>
      </c>
      <c r="I19" s="161" t="str">
        <f t="array" ref="I19">IF(AND(F19&gt;H19,OR(AND(OR($B19&lt;&gt;Ref!$A$7,$H$55&gt;0),OR($B19&lt;&gt;Ref!$A$8,$H$56&gt;0)),COUNT(SEARCH(Sonderarbeit,$N19))&gt;=1),ISNONTEXT(C19),C19&lt;&gt;""),F19-H19,"")</f>
        <v/>
      </c>
      <c r="J19" s="162" t="str">
        <f t="array" ref="J19">IF(OR(AND(F19&lt;H19,OR(AND(OR($B19&lt;&gt;Ref!$A$7,$H$55&gt;0),OR($B19&lt;&gt;Ref!$A$8,$H$56&gt;0)),COUNT(SEARCH(Sonderarbeit,$N19))&gt;=1)),C19="Ausgleich"),H19-F19,"")</f>
        <v/>
      </c>
      <c r="K19" s="163" t="str">
        <f>IF(AND(B19=Ref!$A$8,SUM(I19:I19)&lt;SUM(J19:J19)),"-","")</f>
        <v/>
      </c>
      <c r="L19" s="164" t="str">
        <f>IF(B19=Ref!$A$8,ABS(SUM(I19:I19)-SUM(J19:J19)),"")</f>
        <v/>
      </c>
      <c r="N19" s="99"/>
    </row>
    <row r="20" spans="1:14" ht="17.45" customHeight="1" x14ac:dyDescent="0.35">
      <c r="A20" s="155">
        <v>2</v>
      </c>
      <c r="B20" s="156" t="str">
        <f t="shared" ref="B20:B48" si="1">TEXT(DATE(J$11,MONTH(I$11),A20),Textcode)</f>
        <v>Mittwoch</v>
      </c>
      <c r="C20" s="157">
        <v>0.35416666666666669</v>
      </c>
      <c r="D20" s="157">
        <v>0.70833333333333337</v>
      </c>
      <c r="E20" s="157">
        <v>2.0833333333333332E-2</v>
      </c>
      <c r="F20" s="158">
        <f t="shared" ref="F20:F48" si="2">IF(ISTEXT(C20),,D20-C20-E20)</f>
        <v>0.33333333333333337</v>
      </c>
      <c r="G20" s="159"/>
      <c r="H20" s="160">
        <f t="shared" si="0"/>
        <v>0.33333333333333331</v>
      </c>
      <c r="I20" s="161" t="str">
        <f t="array" ref="I20">IF(AND(F20&gt;H20,OR(AND(OR($B20&lt;&gt;Ref!$A$7,$H$55&gt;0),OR($B20&lt;&gt;Ref!$A$8,$H$56&gt;0)),COUNT(SEARCH(Sonderarbeit,$N20))&gt;=1),ISNONTEXT(C20),C20&lt;&gt;""),F20-H20,"")</f>
        <v/>
      </c>
      <c r="J20" s="162" t="str">
        <f t="array" ref="J20">IF(OR(AND(F20&lt;H20,OR(AND(OR($B20&lt;&gt;Ref!$A$7,$H$55&gt;0),OR($B20&lt;&gt;Ref!$A$8,$H$56&gt;0)),COUNT(SEARCH(Sonderarbeit,$N20))&gt;=1)),C20="Ausgleich"),H20-F20,"")</f>
        <v/>
      </c>
      <c r="K20" s="166" t="str">
        <f>IF(AND(B20=Ref!$A$8,SUM(I19:I20)&lt;SUM(J19:J20)),"-","")</f>
        <v/>
      </c>
      <c r="L20" s="167" t="str">
        <f>IF(B20=Ref!$A$8,ABS(SUM(I19:I20)-SUM(J19:J20)),"")</f>
        <v/>
      </c>
      <c r="N20" s="99"/>
    </row>
    <row r="21" spans="1:14" ht="17.45" customHeight="1" x14ac:dyDescent="0.35">
      <c r="A21" s="155">
        <v>3</v>
      </c>
      <c r="B21" s="156" t="str">
        <f t="shared" si="1"/>
        <v>Donnerstag</v>
      </c>
      <c r="C21" s="157">
        <v>0.35416666666666669</v>
      </c>
      <c r="D21" s="157">
        <v>0.70833333333333337</v>
      </c>
      <c r="E21" s="157">
        <v>2.0833333333333332E-2</v>
      </c>
      <c r="F21" s="158">
        <f t="shared" si="2"/>
        <v>0.33333333333333337</v>
      </c>
      <c r="G21" s="159"/>
      <c r="H21" s="160">
        <f t="shared" si="0"/>
        <v>0.33333333333333331</v>
      </c>
      <c r="I21" s="161" t="str">
        <f t="array" ref="I21">IF(AND(F21&gt;H21,OR(AND(OR($B21&lt;&gt;Ref!$A$7,$H$55&gt;0),OR($B21&lt;&gt;Ref!$A$8,$H$56&gt;0)),COUNT(SEARCH(Sonderarbeit,$N21))&gt;=1),ISNONTEXT(C21),C21&lt;&gt;""),F21-H21,"")</f>
        <v/>
      </c>
      <c r="J21" s="162" t="str">
        <f t="array" ref="J21">IF(OR(AND(F21&lt;H21,OR(AND(OR($B21&lt;&gt;Ref!$A$7,$H$55&gt;0),OR($B21&lt;&gt;Ref!$A$8,$H$56&gt;0)),COUNT(SEARCH(Sonderarbeit,$N21))&gt;=1)),C21="Ausgleich"),H21-F21,"")</f>
        <v/>
      </c>
      <c r="K21" s="166" t="str">
        <f>IF(AND(B21=Ref!$A$8,SUM(I19:I21)&lt;SUM(J19:J21)),"-","")</f>
        <v/>
      </c>
      <c r="L21" s="167" t="str">
        <f>IF(B21=Ref!$A$8,ABS(SUM(I19:I21)-SUM(J19:J21)),"")</f>
        <v/>
      </c>
      <c r="N21" s="99"/>
    </row>
    <row r="22" spans="1:14" ht="17.45" customHeight="1" x14ac:dyDescent="0.35">
      <c r="A22" s="168">
        <v>4</v>
      </c>
      <c r="B22" s="156" t="str">
        <f t="shared" si="1"/>
        <v>Freitag</v>
      </c>
      <c r="C22" s="157">
        <v>0.35416666666666669</v>
      </c>
      <c r="D22" s="157">
        <v>0.70833333333333337</v>
      </c>
      <c r="E22" s="157">
        <v>2.0833333333333332E-2</v>
      </c>
      <c r="F22" s="158">
        <f t="shared" si="2"/>
        <v>0.33333333333333337</v>
      </c>
      <c r="G22" s="159"/>
      <c r="H22" s="160">
        <f t="shared" si="0"/>
        <v>0.3125</v>
      </c>
      <c r="I22" s="161">
        <f t="array" ref="I22">IF(AND(F22&gt;H22,OR(AND(OR($B22&lt;&gt;Ref!$A$7,$H$55&gt;0),OR($B22&lt;&gt;Ref!$A$8,$H$56&gt;0)),COUNT(SEARCH(Sonderarbeit,$N22))&gt;=1),ISNONTEXT(C22),C22&lt;&gt;""),F22-H22,"")</f>
        <v>2.083333333333337E-2</v>
      </c>
      <c r="J22" s="162" t="str">
        <f t="array" ref="J22">IF(OR(AND(F22&lt;H22,OR(AND(OR($B22&lt;&gt;Ref!$A$7,$H$55&gt;0),OR($B22&lt;&gt;Ref!$A$8,$H$56&gt;0)),COUNT(SEARCH(Sonderarbeit,$N22))&gt;=1)),C22="Ausgleich"),H22-F22,"")</f>
        <v/>
      </c>
      <c r="K22" s="166" t="str">
        <f>IF(AND(B22=Ref!$A$8,SUM(I19:I22)&lt;SUM(J19:J22)),"-","")</f>
        <v/>
      </c>
      <c r="L22" s="167" t="str">
        <f>IF(B22=Ref!$A$8,ABS(SUM(I19:I22)-SUM(J19:J22)),"")</f>
        <v/>
      </c>
      <c r="N22" s="99"/>
    </row>
    <row r="23" spans="1:14" ht="17.45" customHeight="1" x14ac:dyDescent="0.35">
      <c r="A23" s="168">
        <v>5</v>
      </c>
      <c r="B23" s="156" t="str">
        <f t="shared" si="1"/>
        <v>Samstag</v>
      </c>
      <c r="C23" s="157">
        <v>0.35416666666666669</v>
      </c>
      <c r="D23" s="157">
        <v>0.70833333333333337</v>
      </c>
      <c r="E23" s="157">
        <v>2.0833333333333332E-2</v>
      </c>
      <c r="F23" s="158">
        <f t="shared" si="2"/>
        <v>0.33333333333333337</v>
      </c>
      <c r="G23" s="159"/>
      <c r="H23" s="160">
        <f t="shared" si="0"/>
        <v>0</v>
      </c>
      <c r="I23" s="161" t="str">
        <f t="array" ref="I23">IF(AND(F23&gt;H23,OR(AND(OR($B23&lt;&gt;Ref!$A$7,$H$55&gt;0),OR($B23&lt;&gt;Ref!$A$8,$H$56&gt;0)),COUNT(SEARCH(Sonderarbeit,$N23))&gt;=1),ISNONTEXT(C23),C23&lt;&gt;""),F23-H23,"")</f>
        <v/>
      </c>
      <c r="J23" s="162" t="str">
        <f t="array" ref="J23">IF(OR(AND(F23&lt;H23,OR(AND(OR($B23&lt;&gt;Ref!$A$7,$H$55&gt;0),OR($B23&lt;&gt;Ref!$A$8,$H$56&gt;0)),COUNT(SEARCH(Sonderarbeit,$N23))&gt;=1)),C23="Ausgleich"),H23-F23,"")</f>
        <v/>
      </c>
      <c r="K23" s="166" t="str">
        <f>IF(AND(B23=Ref!$A$8,SUM(I19:I23)&lt;SUM(J19:J23)),"-","")</f>
        <v/>
      </c>
      <c r="L23" s="167" t="str">
        <f>IF(B23=Ref!$A$8,ABS(SUM(I19:I23)-SUM(J19:J23)),"")</f>
        <v/>
      </c>
      <c r="N23" s="99"/>
    </row>
    <row r="24" spans="1:14" ht="17.45" customHeight="1" x14ac:dyDescent="0.35">
      <c r="A24" s="155">
        <v>6</v>
      </c>
      <c r="B24" s="156" t="str">
        <f t="shared" si="1"/>
        <v>Sonntag</v>
      </c>
      <c r="C24" s="157">
        <v>0.35416666666666669</v>
      </c>
      <c r="D24" s="157">
        <v>0.70833333333333337</v>
      </c>
      <c r="E24" s="157">
        <v>2.0833333333333332E-2</v>
      </c>
      <c r="F24" s="158">
        <f t="shared" si="2"/>
        <v>0.33333333333333337</v>
      </c>
      <c r="G24" s="159"/>
      <c r="H24" s="160">
        <f t="shared" si="0"/>
        <v>0</v>
      </c>
      <c r="I24" s="161" t="str">
        <f t="array" ref="I24">IF(AND(F24&gt;H24,OR(AND(OR($B24&lt;&gt;Ref!$A$7,$H$55&gt;0),OR($B24&lt;&gt;Ref!$A$8,$H$56&gt;0)),COUNT(SEARCH(Sonderarbeit,$N24))&gt;=1),ISNONTEXT(C24),C24&lt;&gt;""),F24-H24,"")</f>
        <v/>
      </c>
      <c r="J24" s="162" t="str">
        <f t="array" ref="J24">IF(OR(AND(F24&lt;H24,OR(AND(OR($B24&lt;&gt;Ref!$A$7,$H$55&gt;0),OR($B24&lt;&gt;Ref!$A$8,$H$56&gt;0)),COUNT(SEARCH(Sonderarbeit,$N24))&gt;=1)),C24="Ausgleich"),H24-F24,"")</f>
        <v/>
      </c>
      <c r="K24" s="166" t="str">
        <f>IF(AND(B24=Ref!$A$8,SUM(I19:I24)&lt;SUM(J19:J24)),"-","")</f>
        <v/>
      </c>
      <c r="L24" s="167">
        <f>IF(B24=Ref!$A$8,ABS(SUM(I19:I24)-SUM(J19:J24)),"")</f>
        <v>2.083333333333337E-2</v>
      </c>
      <c r="N24" s="99"/>
    </row>
    <row r="25" spans="1:14" ht="17.45" customHeight="1" x14ac:dyDescent="0.35">
      <c r="A25" s="168">
        <v>7</v>
      </c>
      <c r="B25" s="156" t="str">
        <f t="shared" si="1"/>
        <v>Montag</v>
      </c>
      <c r="C25" s="157">
        <v>0.35416666666666669</v>
      </c>
      <c r="D25" s="157">
        <v>0.70833333333333337</v>
      </c>
      <c r="E25" s="157">
        <v>2.0833333333333332E-2</v>
      </c>
      <c r="F25" s="158">
        <f t="shared" si="2"/>
        <v>0.33333333333333337</v>
      </c>
      <c r="G25" s="159"/>
      <c r="H25" s="160">
        <f t="shared" si="0"/>
        <v>0.33333333333333331</v>
      </c>
      <c r="I25" s="161" t="str">
        <f t="array" ref="I25">IF(AND(F25&gt;H25,OR(AND(OR($B25&lt;&gt;Ref!$A$7,$H$55&gt;0),OR($B25&lt;&gt;Ref!$A$8,$H$56&gt;0)),COUNT(SEARCH(Sonderarbeit,$N25))&gt;=1),ISNONTEXT(C25),C25&lt;&gt;""),F25-H25,"")</f>
        <v/>
      </c>
      <c r="J25" s="162" t="str">
        <f t="array" ref="J25">IF(OR(AND(F25&lt;H25,OR(AND(OR($B25&lt;&gt;Ref!$A$7,$H$55&gt;0),OR($B25&lt;&gt;Ref!$A$8,$H$56&gt;0)),COUNT(SEARCH(Sonderarbeit,$N25))&gt;=1)),C25="Ausgleich"),H25-F25,"")</f>
        <v/>
      </c>
      <c r="K25" s="166" t="str">
        <f>IF(AND(B25=Ref!$A$8,SUM(I19:I25)&lt;SUM(J19:J25)),"-","")</f>
        <v/>
      </c>
      <c r="L25" s="167" t="str">
        <f>IF(B25=Ref!$A$8,ABS(SUM(I19:I25)-SUM(J19:J25)),"")</f>
        <v/>
      </c>
    </row>
    <row r="26" spans="1:14" ht="17.45" customHeight="1" x14ac:dyDescent="0.35">
      <c r="A26" s="168">
        <v>8</v>
      </c>
      <c r="B26" s="156" t="str">
        <f t="shared" si="1"/>
        <v>Dienstag</v>
      </c>
      <c r="C26" s="157">
        <v>0.35416666666666669</v>
      </c>
      <c r="D26" s="157">
        <v>0.70833333333333337</v>
      </c>
      <c r="E26" s="157">
        <v>2.0833333333333332E-2</v>
      </c>
      <c r="F26" s="158">
        <f t="shared" si="2"/>
        <v>0.33333333333333337</v>
      </c>
      <c r="G26" s="159"/>
      <c r="H26" s="160">
        <f t="shared" si="0"/>
        <v>0.33333333333333331</v>
      </c>
      <c r="I26" s="161" t="str">
        <f t="array" ref="I26">IF(AND(F26&gt;H26,OR(AND(OR($B26&lt;&gt;Ref!$A$7,$H$55&gt;0),OR($B26&lt;&gt;Ref!$A$8,$H$56&gt;0)),COUNT(SEARCH(Sonderarbeit,$N26))&gt;=1),ISNONTEXT(C26),C26&lt;&gt;""),F26-H26,"")</f>
        <v/>
      </c>
      <c r="J26" s="162" t="str">
        <f t="array" ref="J26">IF(OR(AND(F26&lt;H26,OR(AND(OR($B26&lt;&gt;Ref!$A$7,$H$55&gt;0),OR($B26&lt;&gt;Ref!$A$8,$H$56&gt;0)),COUNT(SEARCH(Sonderarbeit,$N26))&gt;=1)),C26="Ausgleich"),H26-F26,"")</f>
        <v/>
      </c>
      <c r="K26" s="166" t="str">
        <f>IF(AND(B26=Ref!$A$8,SUM(I20:I26)&lt;SUM(J20:J26)),"-","")</f>
        <v/>
      </c>
      <c r="L26" s="167" t="str">
        <f>IF(B26=Ref!$A$8,ABS(SUM(I20:I26)-SUM(J20:J26)),"")</f>
        <v/>
      </c>
      <c r="N26" s="99"/>
    </row>
    <row r="27" spans="1:14" ht="17.45" customHeight="1" x14ac:dyDescent="0.35">
      <c r="A27" s="155">
        <v>9</v>
      </c>
      <c r="B27" s="156" t="str">
        <f t="shared" si="1"/>
        <v>Mittwoch</v>
      </c>
      <c r="C27" s="157">
        <v>0.35416666666666669</v>
      </c>
      <c r="D27" s="157">
        <v>0.70833333333333337</v>
      </c>
      <c r="E27" s="157">
        <v>2.0833333333333332E-2</v>
      </c>
      <c r="F27" s="158">
        <f t="shared" si="2"/>
        <v>0.33333333333333337</v>
      </c>
      <c r="G27" s="159"/>
      <c r="H27" s="160">
        <f t="shared" si="0"/>
        <v>0.33333333333333331</v>
      </c>
      <c r="I27" s="161" t="str">
        <f t="array" ref="I27">IF(AND(F27&gt;H27,OR(AND(OR($B27&lt;&gt;Ref!$A$7,$H$55&gt;0),OR($B27&lt;&gt;Ref!$A$8,$H$56&gt;0)),COUNT(SEARCH(Sonderarbeit,$N27))&gt;=1),ISNONTEXT(C27),C27&lt;&gt;""),F27-H27,"")</f>
        <v/>
      </c>
      <c r="J27" s="162" t="str">
        <f t="array" ref="J27">IF(OR(AND(F27&lt;H27,OR(AND(OR($B27&lt;&gt;Ref!$A$7,$H$55&gt;0),OR($B27&lt;&gt;Ref!$A$8,$H$56&gt;0)),COUNT(SEARCH(Sonderarbeit,$N27))&gt;=1)),C27="Ausgleich"),H27-F27,"")</f>
        <v/>
      </c>
      <c r="K27" s="166" t="str">
        <f>IF(AND(B27=Ref!$A$8,SUM(I21:I27)&lt;SUM(J21:J27)),"-","")</f>
        <v/>
      </c>
      <c r="L27" s="167" t="str">
        <f>IF(B27=Ref!$A$8,ABS(SUM(I21:I27)-SUM(J21:J27)),"")</f>
        <v/>
      </c>
    </row>
    <row r="28" spans="1:14" ht="17.45" customHeight="1" x14ac:dyDescent="0.35">
      <c r="A28" s="155">
        <v>10</v>
      </c>
      <c r="B28" s="156" t="str">
        <f t="shared" si="1"/>
        <v>Donnerstag</v>
      </c>
      <c r="C28" s="157">
        <v>0.35416666666666669</v>
      </c>
      <c r="D28" s="157">
        <v>0.70833333333333337</v>
      </c>
      <c r="E28" s="157">
        <v>2.0833333333333332E-2</v>
      </c>
      <c r="F28" s="158">
        <f t="shared" si="2"/>
        <v>0.33333333333333337</v>
      </c>
      <c r="G28" s="159"/>
      <c r="H28" s="160">
        <f t="shared" si="0"/>
        <v>0.33333333333333331</v>
      </c>
      <c r="I28" s="161" t="str">
        <f t="array" ref="I28">IF(AND(F28&gt;H28,OR(AND(OR($B28&lt;&gt;Ref!$A$7,$H$55&gt;0),OR($B28&lt;&gt;Ref!$A$8,$H$56&gt;0)),COUNT(SEARCH(Sonderarbeit,$N28))&gt;=1),ISNONTEXT(C28),C28&lt;&gt;""),F28-H28,"")</f>
        <v/>
      </c>
      <c r="J28" s="162" t="str">
        <f t="array" ref="J28">IF(OR(AND(F28&lt;H28,OR(AND(OR($B28&lt;&gt;Ref!$A$7,$H$55&gt;0),OR($B28&lt;&gt;Ref!$A$8,$H$56&gt;0)),COUNT(SEARCH(Sonderarbeit,$N28))&gt;=1)),C28="Ausgleich"),H28-F28,"")</f>
        <v/>
      </c>
      <c r="K28" s="166" t="str">
        <f>IF(AND(B28=Ref!$A$8,SUM(I22:I28)&lt;SUM(J22:J28)),"-","")</f>
        <v/>
      </c>
      <c r="L28" s="167" t="str">
        <f>IF(B28=Ref!$A$8,ABS(SUM(I22:I28)-SUM(J22:J28)),"")</f>
        <v/>
      </c>
    </row>
    <row r="29" spans="1:14" ht="17.45" customHeight="1" x14ac:dyDescent="0.35">
      <c r="A29" s="168">
        <v>11</v>
      </c>
      <c r="B29" s="156" t="str">
        <f t="shared" si="1"/>
        <v>Freitag</v>
      </c>
      <c r="C29" s="157">
        <v>0.35416666666666669</v>
      </c>
      <c r="D29" s="157">
        <v>0.70833333333333337</v>
      </c>
      <c r="E29" s="157">
        <v>2.0833333333333332E-2</v>
      </c>
      <c r="F29" s="158">
        <f t="shared" si="2"/>
        <v>0.33333333333333337</v>
      </c>
      <c r="G29" s="159"/>
      <c r="H29" s="160">
        <f t="shared" si="0"/>
        <v>0.3125</v>
      </c>
      <c r="I29" s="161">
        <f t="array" ref="I29">IF(AND(F29&gt;H29,OR(AND(OR($B29&lt;&gt;Ref!$A$7,$H$55&gt;0),OR($B29&lt;&gt;Ref!$A$8,$H$56&gt;0)),COUNT(SEARCH(Sonderarbeit,$N29))&gt;=1),ISNONTEXT(C29),C29&lt;&gt;""),F29-H29,"")</f>
        <v>2.083333333333337E-2</v>
      </c>
      <c r="J29" s="162" t="str">
        <f t="array" ref="J29">IF(OR(AND(F29&lt;H29,OR(AND(OR($B29&lt;&gt;Ref!$A$7,$H$55&gt;0),OR($B29&lt;&gt;Ref!$A$8,$H$56&gt;0)),COUNT(SEARCH(Sonderarbeit,$N29))&gt;=1)),C29="Ausgleich"),H29-F29,"")</f>
        <v/>
      </c>
      <c r="K29" s="166" t="str">
        <f>IF(AND(B29=Ref!$A$8,SUM(I23:I29)&lt;SUM(J23:J29)),"-","")</f>
        <v/>
      </c>
      <c r="L29" s="167" t="str">
        <f>IF(B29=Ref!$A$8,ABS(SUM(I23:I29)-SUM(J23:J29)),"")</f>
        <v/>
      </c>
      <c r="N29" s="100" t="s">
        <v>123</v>
      </c>
    </row>
    <row r="30" spans="1:14" ht="17.45" customHeight="1" x14ac:dyDescent="0.35">
      <c r="A30" s="168">
        <v>12</v>
      </c>
      <c r="B30" s="156" t="str">
        <f t="shared" si="1"/>
        <v>Samstag</v>
      </c>
      <c r="C30" s="157">
        <v>0.35416666666666669</v>
      </c>
      <c r="D30" s="157">
        <v>0.70833333333333337</v>
      </c>
      <c r="E30" s="157">
        <v>2.0833333333333332E-2</v>
      </c>
      <c r="F30" s="158">
        <f t="shared" si="2"/>
        <v>0.33333333333333337</v>
      </c>
      <c r="G30" s="159"/>
      <c r="H30" s="160">
        <f t="shared" si="0"/>
        <v>0</v>
      </c>
      <c r="I30" s="161" t="str">
        <f t="array" ref="I30">IF(AND(F30&gt;H30,OR(AND(OR($B30&lt;&gt;Ref!$A$7,$H$55&gt;0),OR($B30&lt;&gt;Ref!$A$8,$H$56&gt;0)),COUNT(SEARCH(Sonderarbeit,$N30))&gt;=1),ISNONTEXT(C30),C30&lt;&gt;""),F30-H30,"")</f>
        <v/>
      </c>
      <c r="J30" s="162" t="str">
        <f t="array" ref="J30">IF(OR(AND(F30&lt;H30,OR(AND(OR($B30&lt;&gt;Ref!$A$7,$H$55&gt;0),OR($B30&lt;&gt;Ref!$A$8,$H$56&gt;0)),COUNT(SEARCH(Sonderarbeit,$N30))&gt;=1)),C30="Ausgleich"),H30-F30,"")</f>
        <v/>
      </c>
      <c r="K30" s="166" t="str">
        <f>IF(AND(B30=Ref!$A$8,SUM(I24:I30)&lt;SUM(J24:J30)),"-","")</f>
        <v/>
      </c>
      <c r="L30" s="167" t="str">
        <f>IF(B30=Ref!$A$8,ABS(SUM(I24:I30)-SUM(J24:J30)),"")</f>
        <v/>
      </c>
    </row>
    <row r="31" spans="1:14" ht="17.45" customHeight="1" x14ac:dyDescent="0.35">
      <c r="A31" s="168">
        <v>13</v>
      </c>
      <c r="B31" s="156" t="str">
        <f t="shared" si="1"/>
        <v>Sonntag</v>
      </c>
      <c r="C31" s="157">
        <v>0.35416666666666669</v>
      </c>
      <c r="D31" s="157">
        <v>0.70833333333333337</v>
      </c>
      <c r="E31" s="157">
        <v>2.0833333333333332E-2</v>
      </c>
      <c r="F31" s="158">
        <f t="shared" si="2"/>
        <v>0.33333333333333337</v>
      </c>
      <c r="G31" s="159"/>
      <c r="H31" s="160">
        <f t="shared" si="0"/>
        <v>0</v>
      </c>
      <c r="I31" s="161" t="str">
        <f t="array" ref="I31">IF(AND(F31&gt;H31,OR(AND(OR($B31&lt;&gt;Ref!$A$7,$H$55&gt;0),OR($B31&lt;&gt;Ref!$A$8,$H$56&gt;0)),COUNT(SEARCH(Sonderarbeit,$N31))&gt;=1),ISNONTEXT(C31),C31&lt;&gt;""),F31-H31,"")</f>
        <v/>
      </c>
      <c r="J31" s="162" t="str">
        <f t="array" ref="J31">IF(OR(AND(F31&lt;H31,OR(AND(OR($B31&lt;&gt;Ref!$A$7,$H$55&gt;0),OR($B31&lt;&gt;Ref!$A$8,$H$56&gt;0)),COUNT(SEARCH(Sonderarbeit,$N31))&gt;=1)),C31="Ausgleich"),H31-F31,"")</f>
        <v/>
      </c>
      <c r="K31" s="166" t="str">
        <f>IF(AND(B31=Ref!$A$8,SUM(I25:I31)&lt;SUM(J25:J31)),"-","")</f>
        <v/>
      </c>
      <c r="L31" s="167">
        <f>IF(B31=Ref!$A$8,ABS(SUM(I25:I31)-SUM(J25:J31)),"")</f>
        <v>2.083333333333337E-2</v>
      </c>
      <c r="N31" s="99"/>
    </row>
    <row r="32" spans="1:14" ht="17.45" customHeight="1" x14ac:dyDescent="0.35">
      <c r="A32" s="168">
        <v>14</v>
      </c>
      <c r="B32" s="156" t="str">
        <f t="shared" si="1"/>
        <v>Montag</v>
      </c>
      <c r="C32" s="157">
        <v>0.35416666666666669</v>
      </c>
      <c r="D32" s="157">
        <v>0.70833333333333337</v>
      </c>
      <c r="E32" s="157">
        <v>2.0833333333333332E-2</v>
      </c>
      <c r="F32" s="158">
        <f t="shared" si="2"/>
        <v>0.33333333333333337</v>
      </c>
      <c r="G32" s="159"/>
      <c r="H32" s="160">
        <f t="shared" si="0"/>
        <v>0.33333333333333331</v>
      </c>
      <c r="I32" s="161" t="str">
        <f t="array" ref="I32">IF(AND(F32&gt;H32,OR(AND(OR($B32&lt;&gt;Ref!$A$7,$H$55&gt;0),OR($B32&lt;&gt;Ref!$A$8,$H$56&gt;0)),COUNT(SEARCH(Sonderarbeit,$N32))&gt;=1),ISNONTEXT(C32),C32&lt;&gt;""),F32-H32,"")</f>
        <v/>
      </c>
      <c r="J32" s="162" t="str">
        <f t="array" ref="J32">IF(OR(AND(F32&lt;H32,OR(AND(OR($B32&lt;&gt;Ref!$A$7,$H$55&gt;0),OR($B32&lt;&gt;Ref!$A$8,$H$56&gt;0)),COUNT(SEARCH(Sonderarbeit,$N32))&gt;=1)),C32="Ausgleich"),H32-F32,"")</f>
        <v/>
      </c>
      <c r="K32" s="166" t="str">
        <f>IF(AND(B32=Ref!$A$8,SUM(I26:I32)&lt;SUM(J26:J32)),"-","")</f>
        <v/>
      </c>
      <c r="L32" s="167" t="str">
        <f>IF(B32=Ref!$A$8,ABS(SUM(I26:I32)-SUM(J26:J32)),"")</f>
        <v/>
      </c>
      <c r="N32" s="99"/>
    </row>
    <row r="33" spans="1:14" ht="17.45" customHeight="1" x14ac:dyDescent="0.35">
      <c r="A33" s="155">
        <v>15</v>
      </c>
      <c r="B33" s="156" t="str">
        <f t="shared" si="1"/>
        <v>Dienstag</v>
      </c>
      <c r="C33" s="157">
        <v>0.35416666666666669</v>
      </c>
      <c r="D33" s="157">
        <v>0.70833333333333337</v>
      </c>
      <c r="E33" s="157">
        <v>2.0833333333333332E-2</v>
      </c>
      <c r="F33" s="158">
        <f t="shared" si="2"/>
        <v>0.33333333333333337</v>
      </c>
      <c r="G33" s="159"/>
      <c r="H33" s="160">
        <f t="shared" si="0"/>
        <v>0.33333333333333331</v>
      </c>
      <c r="I33" s="161" t="str">
        <f t="array" ref="I33">IF(AND(F33&gt;H33,OR(AND(OR($B33&lt;&gt;Ref!$A$7,$H$55&gt;0),OR($B33&lt;&gt;Ref!$A$8,$H$56&gt;0)),COUNT(SEARCH(Sonderarbeit,$N33))&gt;=1),ISNONTEXT(C33),C33&lt;&gt;""),F33-H33,"")</f>
        <v/>
      </c>
      <c r="J33" s="162" t="str">
        <f t="array" ref="J33">IF(OR(AND(F33&lt;H33,OR(AND(OR($B33&lt;&gt;Ref!$A$7,$H$55&gt;0),OR($B33&lt;&gt;Ref!$A$8,$H$56&gt;0)),COUNT(SEARCH(Sonderarbeit,$N33))&gt;=1)),C33="Ausgleich"),H33-F33,"")</f>
        <v/>
      </c>
      <c r="K33" s="166" t="str">
        <f>IF(AND(B33=Ref!$A$8,SUM(I27:I33)&lt;SUM(J27:J33)),"-","")</f>
        <v/>
      </c>
      <c r="L33" s="167" t="str">
        <f>IF(B33=Ref!$A$8,ABS(SUM(I27:I33)-SUM(J27:J33)),"")</f>
        <v/>
      </c>
      <c r="N33" s="99"/>
    </row>
    <row r="34" spans="1:14" ht="17.45" customHeight="1" x14ac:dyDescent="0.35">
      <c r="A34" s="155">
        <v>16</v>
      </c>
      <c r="B34" s="156" t="str">
        <f t="shared" si="1"/>
        <v>Mittwoch</v>
      </c>
      <c r="C34" s="157">
        <v>0.35416666666666669</v>
      </c>
      <c r="D34" s="157">
        <v>0.70833333333333337</v>
      </c>
      <c r="E34" s="157">
        <v>2.0833333333333332E-2</v>
      </c>
      <c r="F34" s="158">
        <f t="shared" si="2"/>
        <v>0.33333333333333337</v>
      </c>
      <c r="G34" s="159"/>
      <c r="H34" s="160">
        <f t="shared" si="0"/>
        <v>0.33333333333333331</v>
      </c>
      <c r="I34" s="161" t="str">
        <f t="array" ref="I34">IF(AND(F34&gt;H34,OR(AND(OR($B34&lt;&gt;Ref!$A$7,$H$55&gt;0),OR($B34&lt;&gt;Ref!$A$8,$H$56&gt;0)),COUNT(SEARCH(Sonderarbeit,$N34))&gt;=1),ISNONTEXT(C34),C34&lt;&gt;""),F34-H34,"")</f>
        <v/>
      </c>
      <c r="J34" s="162" t="str">
        <f t="array" ref="J34">IF(OR(AND(F34&lt;H34,OR(AND(OR($B34&lt;&gt;Ref!$A$7,$H$55&gt;0),OR($B34&lt;&gt;Ref!$A$8,$H$56&gt;0)),COUNT(SEARCH(Sonderarbeit,$N34))&gt;=1)),C34="Ausgleich"),H34-F34,"")</f>
        <v/>
      </c>
      <c r="K34" s="166" t="str">
        <f>IF(AND(B34=Ref!$A$8,SUM(I28:I34)&lt;SUM(J28:J34)),"-","")</f>
        <v/>
      </c>
      <c r="L34" s="167" t="str">
        <f>IF(B34=Ref!$A$8,ABS(SUM(I28:I34)-SUM(J28:J34)),"")</f>
        <v/>
      </c>
      <c r="N34" s="99"/>
    </row>
    <row r="35" spans="1:14" ht="17.45" customHeight="1" x14ac:dyDescent="0.35">
      <c r="A35" s="155">
        <v>17</v>
      </c>
      <c r="B35" s="156" t="str">
        <f t="shared" si="1"/>
        <v>Donnerstag</v>
      </c>
      <c r="C35" s="157">
        <v>0.35416666666666669</v>
      </c>
      <c r="D35" s="157">
        <v>0.70833333333333337</v>
      </c>
      <c r="E35" s="157">
        <v>2.0833333333333332E-2</v>
      </c>
      <c r="F35" s="158">
        <f t="shared" si="2"/>
        <v>0.33333333333333337</v>
      </c>
      <c r="G35" s="159"/>
      <c r="H35" s="160">
        <f t="shared" si="0"/>
        <v>0.33333333333333331</v>
      </c>
      <c r="I35" s="161" t="str">
        <f t="array" ref="I35">IF(AND(F35&gt;H35,OR(AND(OR($B35&lt;&gt;Ref!$A$7,$H$55&gt;0),OR($B35&lt;&gt;Ref!$A$8,$H$56&gt;0)),COUNT(SEARCH(Sonderarbeit,$N35))&gt;=1),ISNONTEXT(C35),C35&lt;&gt;""),F35-H35,"")</f>
        <v/>
      </c>
      <c r="J35" s="162" t="str">
        <f t="array" ref="J35">IF(OR(AND(F35&lt;H35,OR(AND(OR($B35&lt;&gt;Ref!$A$7,$H$55&gt;0),OR($B35&lt;&gt;Ref!$A$8,$H$56&gt;0)),COUNT(SEARCH(Sonderarbeit,$N35))&gt;=1)),C35="Ausgleich"),H35-F35,"")</f>
        <v/>
      </c>
      <c r="K35" s="166" t="str">
        <f>IF(AND(B35=Ref!$A$8,SUM(I29:I35)&lt;SUM(J29:J35)),"-","")</f>
        <v/>
      </c>
      <c r="L35" s="167" t="str">
        <f>IF(B35=Ref!$A$8,ABS(SUM(I29:I35)-SUM(J29:J35)),"")</f>
        <v/>
      </c>
      <c r="N35" s="99"/>
    </row>
    <row r="36" spans="1:14" ht="17.45" customHeight="1" x14ac:dyDescent="0.35">
      <c r="A36" s="155">
        <v>18</v>
      </c>
      <c r="B36" s="156" t="str">
        <f t="shared" si="1"/>
        <v>Freitag</v>
      </c>
      <c r="C36" s="157">
        <v>0.35416666666666669</v>
      </c>
      <c r="D36" s="157">
        <v>0.35416666666666669</v>
      </c>
      <c r="E36" s="157">
        <v>0</v>
      </c>
      <c r="F36" s="158">
        <f t="shared" si="2"/>
        <v>0</v>
      </c>
      <c r="G36" s="159"/>
      <c r="H36" s="160">
        <f>IF(AND(ISTEXT(C36),ISERR(SEARCH("ausgleich",C36,1))),,INDEX(H$50:H$57,WEEKDAY(DATE(J$11,MONTH(I$11),A36),2),1,1))</f>
        <v>0.3125</v>
      </c>
      <c r="I36" s="161" t="str">
        <f t="array" ref="I36">IF(AND(F36&gt;H36,OR(AND(OR($B36&lt;&gt;Ref!$A$7,$H$55&gt;0),OR($B36&lt;&gt;Ref!$A$8,$H$56&gt;0)),COUNT(SEARCH(Sonderarbeit,$N36))&gt;=1),ISNONTEXT(C36),C36&lt;&gt;""),F36-H36,"")</f>
        <v/>
      </c>
      <c r="J36" s="162">
        <f t="array" ref="J36">IF(OR(AND(F36&lt;H36,OR(AND(OR($B36&lt;&gt;Ref!$A$7,$H$55&gt;0),OR($B36&lt;&gt;Ref!$A$8,$H$56&gt;0)),COUNT(SEARCH(Sonderarbeit,$N36))&gt;=1)),C36="Ausgleich"),H36-F36,"")</f>
        <v>0.3125</v>
      </c>
      <c r="K36" s="166" t="str">
        <f>IF(AND(B36=Ref!$A$8,SUM(I30:I36)&lt;SUM(J30:J36)),"-","")</f>
        <v/>
      </c>
      <c r="L36" s="167" t="str">
        <f>IF(B36=Ref!$A$8,ABS(SUM(I30:I36)-SUM(J30:J36)),"")</f>
        <v/>
      </c>
      <c r="N36" s="99"/>
    </row>
    <row r="37" spans="1:14" ht="17.45" customHeight="1" x14ac:dyDescent="0.35">
      <c r="A37" s="155">
        <v>19</v>
      </c>
      <c r="B37" s="156" t="str">
        <f t="shared" si="1"/>
        <v>Samstag</v>
      </c>
      <c r="C37" s="157">
        <v>0.35416666666666669</v>
      </c>
      <c r="D37" s="157">
        <v>0.70833333333333337</v>
      </c>
      <c r="E37" s="157">
        <v>2.0833333333333332E-2</v>
      </c>
      <c r="F37" s="158">
        <f t="shared" si="2"/>
        <v>0.33333333333333337</v>
      </c>
      <c r="G37" s="159"/>
      <c r="H37" s="160">
        <f t="shared" ref="H37:H48" si="3">IF(AND(ISTEXT(C37),ISERR(SEARCH("ausgleich",C37,1))),,INDEX(H$50:H$57,WEEKDAY(DATE(J$11,MONTH(I$11),A37),2),1,1))</f>
        <v>0</v>
      </c>
      <c r="I37" s="161" t="str">
        <f t="array" ref="I37">IF(AND(F37&gt;H37,OR(AND(OR($B37&lt;&gt;Ref!$A$7,$H$55&gt;0),OR($B37&lt;&gt;Ref!$A$8,$H$56&gt;0)),COUNT(SEARCH(Sonderarbeit,$N37))&gt;=1),ISNONTEXT(C37),C37&lt;&gt;""),F37-H37,"")</f>
        <v/>
      </c>
      <c r="J37" s="162" t="str">
        <f t="array" ref="J37">IF(OR(AND(F37&lt;H37,OR(AND(OR($B37&lt;&gt;Ref!$A$7,$H$55&gt;0),OR($B37&lt;&gt;Ref!$A$8,$H$56&gt;0)),COUNT(SEARCH(Sonderarbeit,$N37))&gt;=1)),C37="Ausgleich"),H37-F37,"")</f>
        <v/>
      </c>
      <c r="K37" s="166" t="str">
        <f>IF(AND(B37=Ref!$A$8,SUM(I31:I37)&lt;SUM(J31:J37)),"-","")</f>
        <v/>
      </c>
      <c r="L37" s="167" t="str">
        <f>IF(B37=Ref!$A$8,ABS(SUM(I31:I37)-SUM(J31:J37)),"")</f>
        <v/>
      </c>
      <c r="N37" s="99"/>
    </row>
    <row r="38" spans="1:14" ht="17.45" customHeight="1" x14ac:dyDescent="0.35">
      <c r="A38" s="155">
        <v>20</v>
      </c>
      <c r="B38" s="156" t="str">
        <f t="shared" si="1"/>
        <v>Sonntag</v>
      </c>
      <c r="C38" s="157">
        <v>0.35416666666666669</v>
      </c>
      <c r="D38" s="157">
        <v>0.70833333333333337</v>
      </c>
      <c r="E38" s="157">
        <v>2.0833333333333332E-2</v>
      </c>
      <c r="F38" s="158">
        <f t="shared" si="2"/>
        <v>0.33333333333333337</v>
      </c>
      <c r="G38" s="159"/>
      <c r="H38" s="160">
        <f t="shared" si="3"/>
        <v>0</v>
      </c>
      <c r="I38" s="161" t="str">
        <f t="array" ref="I38">IF(AND(F38&gt;H38,OR(AND(OR($B38&lt;&gt;Ref!$A$7,$H$55&gt;0),OR($B38&lt;&gt;Ref!$A$8,$H$56&gt;0)),COUNT(SEARCH(Sonderarbeit,$N38))&gt;=1),ISNONTEXT(C38),C38&lt;&gt;""),F38-H38,"")</f>
        <v/>
      </c>
      <c r="J38" s="162" t="str">
        <f t="array" ref="J38">IF(OR(AND(F38&lt;H38,OR(AND(OR($B38&lt;&gt;Ref!$A$7,$H$55&gt;0),OR($B38&lt;&gt;Ref!$A$8,$H$56&gt;0)),COUNT(SEARCH(Sonderarbeit,$N38))&gt;=1)),C38="Ausgleich"),H38-F38,"")</f>
        <v/>
      </c>
      <c r="K38" s="166" t="str">
        <f>IF(AND(B38=Ref!$A$8,SUM(I32:I38)&lt;SUM(J32:J38)),"-","")</f>
        <v>-</v>
      </c>
      <c r="L38" s="167">
        <f>IF(B38=Ref!$A$8,ABS(SUM(I32:I38)-SUM(J32:J38)),"")</f>
        <v>0.3125</v>
      </c>
      <c r="N38" s="99"/>
    </row>
    <row r="39" spans="1:14" ht="17.45" customHeight="1" x14ac:dyDescent="0.35">
      <c r="A39" s="155">
        <v>21</v>
      </c>
      <c r="B39" s="156" t="str">
        <f t="shared" si="1"/>
        <v>Montag</v>
      </c>
      <c r="C39" s="157">
        <v>0.35416666666666669</v>
      </c>
      <c r="D39" s="157">
        <v>0.70833333333333337</v>
      </c>
      <c r="E39" s="157">
        <v>2.0833333333333332E-2</v>
      </c>
      <c r="F39" s="158">
        <f t="shared" si="2"/>
        <v>0.33333333333333337</v>
      </c>
      <c r="G39" s="159"/>
      <c r="H39" s="160">
        <f t="shared" si="3"/>
        <v>0.33333333333333331</v>
      </c>
      <c r="I39" s="161" t="str">
        <f t="array" ref="I39">IF(AND(F39&gt;H39,OR(AND(OR($B39&lt;&gt;Ref!$A$7,$H$55&gt;0),OR($B39&lt;&gt;Ref!$A$8,$H$56&gt;0)),COUNT(SEARCH(Sonderarbeit,$N39))&gt;=1),ISNONTEXT(C39),C39&lt;&gt;""),F39-H39,"")</f>
        <v/>
      </c>
      <c r="J39" s="162" t="str">
        <f t="array" ref="J39">IF(OR(AND(F39&lt;H39,OR(AND(OR($B39&lt;&gt;Ref!$A$7,$H$55&gt;0),OR($B39&lt;&gt;Ref!$A$8,$H$56&gt;0)),COUNT(SEARCH(Sonderarbeit,$N39))&gt;=1)),C39="Ausgleich"),H39-F39,"")</f>
        <v/>
      </c>
      <c r="K39" s="166" t="str">
        <f>IF(AND(B39=Ref!$A$8,SUM(I33:I39)&lt;SUM(J33:J39)),"-","")</f>
        <v/>
      </c>
      <c r="L39" s="167" t="str">
        <f>IF(B39=Ref!$A$8,ABS(SUM(I33:I39)-SUM(J33:J39)),"")</f>
        <v/>
      </c>
      <c r="N39" s="99"/>
    </row>
    <row r="40" spans="1:14" ht="17.45" customHeight="1" x14ac:dyDescent="0.35">
      <c r="A40" s="155">
        <v>22</v>
      </c>
      <c r="B40" s="156" t="str">
        <f t="shared" si="1"/>
        <v>Dienstag</v>
      </c>
      <c r="C40" s="157">
        <v>0.35416666666666669</v>
      </c>
      <c r="D40" s="157">
        <v>0.70833333333333337</v>
      </c>
      <c r="E40" s="157">
        <v>2.0833333333333332E-2</v>
      </c>
      <c r="F40" s="158">
        <f t="shared" si="2"/>
        <v>0.33333333333333337</v>
      </c>
      <c r="G40" s="159"/>
      <c r="H40" s="160">
        <f t="shared" si="3"/>
        <v>0.33333333333333331</v>
      </c>
      <c r="I40" s="161" t="str">
        <f t="array" ref="I40">IF(AND(F40&gt;H40,OR(AND(OR($B40&lt;&gt;Ref!$A$7,$H$55&gt;0),OR($B40&lt;&gt;Ref!$A$8,$H$56&gt;0)),COUNT(SEARCH(Sonderarbeit,$N40))&gt;=1),ISNONTEXT(C40),C40&lt;&gt;""),F40-H40,"")</f>
        <v/>
      </c>
      <c r="J40" s="162" t="str">
        <f t="array" ref="J40">IF(OR(AND(F40&lt;H40,OR(AND(OR($B40&lt;&gt;Ref!$A$7,$H$55&gt;0),OR($B40&lt;&gt;Ref!$A$8,$H$56&gt;0)),COUNT(SEARCH(Sonderarbeit,$N40))&gt;=1)),C40="Ausgleich"),H40-F40,"")</f>
        <v/>
      </c>
      <c r="K40" s="166" t="str">
        <f>IF(AND(B40=Ref!$A$8,SUM(I34:I40)&lt;SUM(J34:J40)),"-","")</f>
        <v/>
      </c>
      <c r="L40" s="167" t="str">
        <f>IF(B40=Ref!$A$8,ABS(SUM(I34:I40)-SUM(J34:J40)),"")</f>
        <v/>
      </c>
      <c r="N40" s="99"/>
    </row>
    <row r="41" spans="1:14" ht="17.45" customHeight="1" x14ac:dyDescent="0.35">
      <c r="A41" s="155">
        <v>23</v>
      </c>
      <c r="B41" s="156" t="str">
        <f t="shared" si="1"/>
        <v>Mittwoch</v>
      </c>
      <c r="C41" s="157">
        <v>0.35416666666666669</v>
      </c>
      <c r="D41" s="157">
        <v>0.70833333333333337</v>
      </c>
      <c r="E41" s="157">
        <v>2.0833333333333332E-2</v>
      </c>
      <c r="F41" s="158">
        <f t="shared" si="2"/>
        <v>0.33333333333333337</v>
      </c>
      <c r="G41" s="159"/>
      <c r="H41" s="160">
        <f t="shared" si="3"/>
        <v>0.33333333333333331</v>
      </c>
      <c r="I41" s="161" t="str">
        <f t="array" ref="I41">IF(AND(F41&gt;H41,OR(AND(OR($B41&lt;&gt;Ref!$A$7,$H$55&gt;0),OR($B41&lt;&gt;Ref!$A$8,$H$56&gt;0)),COUNT(SEARCH(Sonderarbeit,$N41))&gt;=1),ISNONTEXT(C41),C41&lt;&gt;""),F41-H41,"")</f>
        <v/>
      </c>
      <c r="J41" s="162" t="str">
        <f t="array" ref="J41">IF(OR(AND(F41&lt;H41,OR(AND(OR($B41&lt;&gt;Ref!$A$7,$H$55&gt;0),OR($B41&lt;&gt;Ref!$A$8,$H$56&gt;0)),COUNT(SEARCH(Sonderarbeit,$N41))&gt;=1)),C41="Ausgleich"),H41-F41,"")</f>
        <v/>
      </c>
      <c r="K41" s="166" t="str">
        <f>IF(AND(B41=Ref!$A$8,SUM(I35:I41)&lt;SUM(J35:J41)),"-","")</f>
        <v/>
      </c>
      <c r="L41" s="167" t="str">
        <f>IF(B41=Ref!$A$8,ABS(SUM(I35:I41)-SUM(J35:J41)),"")</f>
        <v/>
      </c>
      <c r="N41" s="99"/>
    </row>
    <row r="42" spans="1:14" ht="17.45" customHeight="1" x14ac:dyDescent="0.35">
      <c r="A42" s="155">
        <v>24</v>
      </c>
      <c r="B42" s="156" t="str">
        <f t="shared" si="1"/>
        <v>Donnerstag</v>
      </c>
      <c r="C42" s="157">
        <v>0.35416666666666669</v>
      </c>
      <c r="D42" s="157">
        <v>0.70833333333333337</v>
      </c>
      <c r="E42" s="157">
        <v>2.0833333333333332E-2</v>
      </c>
      <c r="F42" s="158">
        <f t="shared" si="2"/>
        <v>0.33333333333333337</v>
      </c>
      <c r="G42" s="159"/>
      <c r="H42" s="160">
        <f t="shared" si="3"/>
        <v>0.33333333333333331</v>
      </c>
      <c r="I42" s="161" t="str">
        <f t="array" ref="I42">IF(AND(F42&gt;H42,OR(AND(OR($B42&lt;&gt;Ref!$A$7,$H$55&gt;0),OR($B42&lt;&gt;Ref!$A$8,$H$56&gt;0)),COUNT(SEARCH(Sonderarbeit,$N42))&gt;=1),ISNONTEXT(C42),C42&lt;&gt;""),F42-H42,"")</f>
        <v/>
      </c>
      <c r="J42" s="162" t="str">
        <f t="array" ref="J42">IF(OR(AND(F42&lt;H42,OR(AND(OR($B42&lt;&gt;Ref!$A$7,$H$55&gt;0),OR($B42&lt;&gt;Ref!$A$8,$H$56&gt;0)),COUNT(SEARCH(Sonderarbeit,$N42))&gt;=1)),C42="Ausgleich"),H42-F42,"")</f>
        <v/>
      </c>
      <c r="K42" s="166" t="str">
        <f>IF(AND(B42=Ref!$A$8,SUM(I36:I42)&lt;SUM(J36:J42)),"-","")</f>
        <v/>
      </c>
      <c r="L42" s="167" t="str">
        <f>IF(B42=Ref!$A$8,ABS(SUM(I36:I42)-SUM(J36:J42)),"")</f>
        <v/>
      </c>
      <c r="N42" s="99"/>
    </row>
    <row r="43" spans="1:14" ht="17.45" customHeight="1" x14ac:dyDescent="0.35">
      <c r="A43" s="155">
        <v>25</v>
      </c>
      <c r="B43" s="156" t="str">
        <f t="shared" si="1"/>
        <v>Freitag</v>
      </c>
      <c r="C43" s="157">
        <v>0.35416666666666669</v>
      </c>
      <c r="D43" s="157">
        <v>0.70833333333333337</v>
      </c>
      <c r="E43" s="157">
        <v>2.0833333333333332E-2</v>
      </c>
      <c r="F43" s="158">
        <f t="shared" si="2"/>
        <v>0.33333333333333337</v>
      </c>
      <c r="G43" s="159"/>
      <c r="H43" s="160">
        <f t="shared" si="3"/>
        <v>0.3125</v>
      </c>
      <c r="I43" s="161">
        <f t="array" ref="I43">IF(AND(F43&gt;H43,OR(AND(OR($B43&lt;&gt;Ref!$A$7,$H$55&gt;0),OR($B43&lt;&gt;Ref!$A$8,$H$56&gt;0)),COUNT(SEARCH(Sonderarbeit,$N43))&gt;=1),ISNONTEXT(C43),C43&lt;&gt;""),F43-H43,"")</f>
        <v>2.083333333333337E-2</v>
      </c>
      <c r="J43" s="162" t="str">
        <f t="array" ref="J43">IF(OR(AND(F43&lt;H43,OR(AND(OR($B43&lt;&gt;Ref!$A$7,$H$55&gt;0),OR($B43&lt;&gt;Ref!$A$8,$H$56&gt;0)),COUNT(SEARCH(Sonderarbeit,$N43))&gt;=1)),C43="Ausgleich"),H43-F43,"")</f>
        <v/>
      </c>
      <c r="K43" s="166" t="str">
        <f>IF(AND(B43=Ref!$A$8,SUM(I37:I43)&lt;SUM(J37:J43)),"-","")</f>
        <v/>
      </c>
      <c r="L43" s="167" t="str">
        <f>IF(B43=Ref!$A$8,ABS(SUM(I37:I43)-SUM(J37:J43)),"")</f>
        <v/>
      </c>
      <c r="N43" s="99"/>
    </row>
    <row r="44" spans="1:14" ht="17.45" customHeight="1" x14ac:dyDescent="0.35">
      <c r="A44" s="155">
        <v>26</v>
      </c>
      <c r="B44" s="156" t="str">
        <f t="shared" si="1"/>
        <v>Samstag</v>
      </c>
      <c r="C44" s="157">
        <v>0.35416666666666669</v>
      </c>
      <c r="D44" s="157">
        <v>0.70833333333333337</v>
      </c>
      <c r="E44" s="157">
        <v>2.0833333333333332E-2</v>
      </c>
      <c r="F44" s="158">
        <f t="shared" si="2"/>
        <v>0.33333333333333337</v>
      </c>
      <c r="G44" s="159"/>
      <c r="H44" s="160">
        <f t="shared" si="3"/>
        <v>0</v>
      </c>
      <c r="I44" s="161" t="str">
        <f t="array" ref="I44">IF(AND(F44&gt;H44,OR(AND(OR($B44&lt;&gt;Ref!$A$7,$H$55&gt;0),OR($B44&lt;&gt;Ref!$A$8,$H$56&gt;0)),COUNT(SEARCH(Sonderarbeit,$N44))&gt;=1),ISNONTEXT(C44),C44&lt;&gt;""),F44-H44,"")</f>
        <v/>
      </c>
      <c r="J44" s="162" t="str">
        <f t="array" ref="J44">IF(OR(AND(F44&lt;H44,OR(AND(OR($B44&lt;&gt;Ref!$A$7,$H$55&gt;0),OR($B44&lt;&gt;Ref!$A$8,$H$56&gt;0)),COUNT(SEARCH(Sonderarbeit,$N44))&gt;=1)),C44="Ausgleich"),H44-F44,"")</f>
        <v/>
      </c>
      <c r="K44" s="166" t="str">
        <f>IF(AND(B44=Ref!$A$8,SUM(I38:I44)&lt;SUM(J38:J44)),"-","")</f>
        <v/>
      </c>
      <c r="L44" s="167" t="str">
        <f>IF(B44=Ref!$A$8,ABS(SUM(I38:I44)-SUM(J38:J44)),"")</f>
        <v/>
      </c>
      <c r="N44" s="99"/>
    </row>
    <row r="45" spans="1:14" ht="17.45" customHeight="1" x14ac:dyDescent="0.35">
      <c r="A45" s="155">
        <v>27</v>
      </c>
      <c r="B45" s="156" t="str">
        <f t="shared" si="1"/>
        <v>Sonntag</v>
      </c>
      <c r="C45" s="157">
        <v>0.35416666666666669</v>
      </c>
      <c r="D45" s="157">
        <v>0.70833333333333337</v>
      </c>
      <c r="E45" s="157">
        <v>2.0833333333333332E-2</v>
      </c>
      <c r="F45" s="158">
        <f t="shared" si="2"/>
        <v>0.33333333333333337</v>
      </c>
      <c r="G45" s="159"/>
      <c r="H45" s="160">
        <f t="shared" si="3"/>
        <v>0</v>
      </c>
      <c r="I45" s="161" t="str">
        <f t="array" ref="I45">IF(AND(F45&gt;H45,OR(AND(OR($B45&lt;&gt;Ref!$A$7,$H$55&gt;0),OR($B45&lt;&gt;Ref!$A$8,$H$56&gt;0)),COUNT(SEARCH(Sonderarbeit,$N45))&gt;=1),ISNONTEXT(C45),C45&lt;&gt;""),F45-H45,"")</f>
        <v/>
      </c>
      <c r="J45" s="162" t="str">
        <f t="array" ref="J45">IF(OR(AND(F45&lt;H45,OR(AND(OR($B45&lt;&gt;Ref!$A$7,$H$55&gt;0),OR($B45&lt;&gt;Ref!$A$8,$H$56&gt;0)),COUNT(SEARCH(Sonderarbeit,$N45))&gt;=1)),C45="Ausgleich"),H45-F45,"")</f>
        <v/>
      </c>
      <c r="K45" s="166" t="str">
        <f>IF(AND(B45=Ref!$A$8,SUM(I39:I45)&lt;SUM(J39:J45)),"-","")</f>
        <v/>
      </c>
      <c r="L45" s="167">
        <f>IF(B45=Ref!$A$8,ABS(SUM(I39:I45)-SUM(J39:J45)),"")</f>
        <v>2.083333333333337E-2</v>
      </c>
      <c r="N45" s="99"/>
    </row>
    <row r="46" spans="1:14" ht="17.45" customHeight="1" x14ac:dyDescent="0.35">
      <c r="A46" s="155">
        <v>28</v>
      </c>
      <c r="B46" s="156" t="str">
        <f t="shared" si="1"/>
        <v>Montag</v>
      </c>
      <c r="C46" s="157">
        <v>0.35416666666666669</v>
      </c>
      <c r="D46" s="157">
        <v>0.70833333333333337</v>
      </c>
      <c r="E46" s="157">
        <v>2.0833333333333332E-2</v>
      </c>
      <c r="F46" s="158">
        <f t="shared" si="2"/>
        <v>0.33333333333333337</v>
      </c>
      <c r="G46" s="159"/>
      <c r="H46" s="160">
        <f t="shared" si="3"/>
        <v>0.33333333333333331</v>
      </c>
      <c r="I46" s="161" t="str">
        <f t="array" ref="I46">IF(AND(F46&gt;H46,OR(AND(OR($B46&lt;&gt;Ref!$A$7,$H$55&gt;0),OR($B46&lt;&gt;Ref!$A$8,$H$56&gt;0)),COUNT(SEARCH(Sonderarbeit,$N46))&gt;=1),ISNONTEXT(C46),C46&lt;&gt;""),F46-H46,"")</f>
        <v/>
      </c>
      <c r="J46" s="162" t="str">
        <f t="array" ref="J46">IF(OR(AND(F46&lt;H46,OR(AND(OR($B46&lt;&gt;Ref!$A$7,$H$55&gt;0),OR($B46&lt;&gt;Ref!$A$8,$H$56&gt;0)),COUNT(SEARCH(Sonderarbeit,$N46))&gt;=1)),C46="Ausgleich"),H46-F46,"")</f>
        <v/>
      </c>
      <c r="K46" s="166" t="str">
        <f>IF(AND(B46=Ref!$A$8,SUM(I40:I46)&lt;SUM(J40:J46)),"-","")</f>
        <v/>
      </c>
      <c r="L46" s="167" t="str">
        <f>IF(B46=Ref!$A$8,ABS(SUM(I40:I46)-SUM(J40:J46)),"")</f>
        <v/>
      </c>
      <c r="N46" s="99"/>
    </row>
    <row r="47" spans="1:14" ht="17.45" customHeight="1" x14ac:dyDescent="0.35">
      <c r="A47" s="155">
        <v>29</v>
      </c>
      <c r="B47" s="156" t="str">
        <f t="shared" si="1"/>
        <v>Dienstag</v>
      </c>
      <c r="C47" s="157">
        <v>0.35416666666666669</v>
      </c>
      <c r="D47" s="157">
        <v>0.70833333333333337</v>
      </c>
      <c r="E47" s="157">
        <v>2.0833333333333332E-2</v>
      </c>
      <c r="F47" s="158">
        <f t="shared" si="2"/>
        <v>0.33333333333333337</v>
      </c>
      <c r="G47" s="159"/>
      <c r="H47" s="160">
        <f t="shared" si="3"/>
        <v>0.33333333333333331</v>
      </c>
      <c r="I47" s="161" t="str">
        <f t="array" ref="I47">IF(AND(F47&gt;H47,OR(AND(OR($B47&lt;&gt;Ref!$A$7,$H$55&gt;0),OR($B47&lt;&gt;Ref!$A$8,$H$56&gt;0)),COUNT(SEARCH(Sonderarbeit,$N47))&gt;=1),ISNONTEXT(C47),C47&lt;&gt;""),F47-H47,"")</f>
        <v/>
      </c>
      <c r="J47" s="162" t="str">
        <f t="array" ref="J47">IF(OR(AND(F47&lt;H47,OR(AND(OR($B47&lt;&gt;Ref!$A$7,$H$55&gt;0),OR($B47&lt;&gt;Ref!$A$8,$H$56&gt;0)),COUNT(SEARCH(Sonderarbeit,$N47))&gt;=1)),C47="Ausgleich"),H47-F47,"")</f>
        <v/>
      </c>
      <c r="K47" s="166" t="str">
        <f>IF(AND(B47=Ref!$A$8,SUM(I41:I47)&lt;SUM(J41:J47)),"-","")</f>
        <v/>
      </c>
      <c r="L47" s="167" t="str">
        <f>IF(B47=Ref!$A$8,ABS(SUM(I41:I47)-SUM(J41:J47)),"")</f>
        <v/>
      </c>
      <c r="N47" s="99"/>
    </row>
    <row r="48" spans="1:14" ht="17.45" customHeight="1" x14ac:dyDescent="0.35">
      <c r="A48" s="155">
        <v>30</v>
      </c>
      <c r="B48" s="156" t="str">
        <f t="shared" si="1"/>
        <v>Mittwoch</v>
      </c>
      <c r="C48" s="157">
        <v>0.35416666666666669</v>
      </c>
      <c r="D48" s="157">
        <v>0.70833333333333337</v>
      </c>
      <c r="E48" s="157">
        <v>2.0833333333333332E-2</v>
      </c>
      <c r="F48" s="158">
        <f t="shared" si="2"/>
        <v>0.33333333333333337</v>
      </c>
      <c r="G48" s="159"/>
      <c r="H48" s="160">
        <f t="shared" si="3"/>
        <v>0.33333333333333331</v>
      </c>
      <c r="I48" s="161" t="str">
        <f t="array" ref="I48">IF(AND(F48&gt;H48,OR(AND(OR($B48&lt;&gt;Ref!$A$7,$H$55&gt;0),OR($B48&lt;&gt;Ref!$A$8,$H$56&gt;0)),COUNT(SEARCH(Sonderarbeit,$N48))&gt;=1),ISNONTEXT(C48),C48&lt;&gt;""),F48-H48,"")</f>
        <v/>
      </c>
      <c r="J48" s="162" t="str">
        <f t="array" ref="J48">IF(OR(AND(F48&lt;H48,OR(AND(OR($B48&lt;&gt;Ref!$A$7,$H$55&gt;0),OR($B48&lt;&gt;Ref!$A$8,$H$56&gt;0)),COUNT(SEARCH(Sonderarbeit,$N48))&gt;=1)),C48="Ausgleich"),H48-F48,"")</f>
        <v/>
      </c>
      <c r="K48" s="218" t="str">
        <f ca="1">IF(SUM(INDIRECT("I"&amp;ROW()-WEEKDAY(DATE(J$11,MONTH(I$11),A48),3)):I48) &lt; SUM(INDIRECT("j"&amp;ROW()-WEEKDAY(DATE(J$11,MONTH(I$11),A48),3)):J48),"-","")</f>
        <v/>
      </c>
      <c r="L48" s="219">
        <f ca="1">ABS(SUM(INDIRECT("I"&amp;ROW()-WEEKDAY(DATE(J$11,MONTH(I$11),A48),3)):I48)-SUM(INDIRECT("j"&amp;ROW()-WEEKDAY(DATE(J$11,MONTH(I$11),A48))):J48))</f>
        <v>0</v>
      </c>
      <c r="N48" s="222" t="s">
        <v>111</v>
      </c>
    </row>
    <row r="49" spans="1:14" s="183" customFormat="1" ht="17.45" customHeight="1" thickBot="1" x14ac:dyDescent="0.25">
      <c r="A49" s="175" t="str">
        <f>Jan!A50</f>
        <v>Sonstige Zeiten laut beigefügter Aufstellung (s. Anlage):</v>
      </c>
      <c r="B49" s="176"/>
      <c r="C49" s="177"/>
      <c r="D49" s="178"/>
      <c r="E49" s="178"/>
      <c r="F49" s="178"/>
      <c r="G49" s="178"/>
      <c r="H49" s="179"/>
      <c r="I49" s="259">
        <v>0</v>
      </c>
      <c r="J49" s="260">
        <v>0</v>
      </c>
      <c r="K49" s="261"/>
      <c r="L49" s="262"/>
      <c r="M49" s="99"/>
      <c r="N49" s="222"/>
    </row>
    <row r="50" spans="1:14" ht="12.6" customHeight="1" x14ac:dyDescent="0.2">
      <c r="A50" s="263" t="s">
        <v>3</v>
      </c>
      <c r="B50" s="263"/>
      <c r="C50" s="263"/>
      <c r="D50" s="263"/>
      <c r="H50" s="280">
        <f>Aug!H51</f>
        <v>0.33333333333333331</v>
      </c>
      <c r="I50" s="185">
        <f>SUM(I17:I49)</f>
        <v>1.4166666666666692</v>
      </c>
      <c r="J50" s="186">
        <f>SUM(J17:J49)</f>
        <v>0.3125</v>
      </c>
      <c r="K50" s="187" t="str">
        <f ca="1">IF(SUMIF(K19:K48,"",L19:L48)&lt;SUMIF(K19:K48,"-",L19:L48),"-","")</f>
        <v>-</v>
      </c>
      <c r="L50" s="188">
        <f ca="1">ABS(SUMIF(K19:K48,"",L19:L48)-SUMIF(K19:K48,"-",L19:L48))</f>
        <v>0.24999999999999989</v>
      </c>
      <c r="N50" s="222"/>
    </row>
    <row r="51" spans="1:14" ht="13.5" thickBot="1" x14ac:dyDescent="0.25">
      <c r="A51" s="189"/>
      <c r="B51" s="189"/>
      <c r="C51" s="189"/>
      <c r="D51" s="189"/>
      <c r="G51" s="190" t="s">
        <v>12</v>
      </c>
      <c r="H51" s="281">
        <f>Aug!H52</f>
        <v>0.33333333333333331</v>
      </c>
      <c r="I51" s="191"/>
      <c r="J51" s="192"/>
      <c r="K51" s="193"/>
      <c r="L51" s="194"/>
    </row>
    <row r="52" spans="1:14" x14ac:dyDescent="0.2">
      <c r="A52" s="189"/>
      <c r="B52" s="189"/>
      <c r="C52" s="189"/>
      <c r="D52" s="189"/>
      <c r="G52" s="195"/>
      <c r="H52" s="281">
        <f>Aug!H53</f>
        <v>0.33333333333333331</v>
      </c>
      <c r="I52" s="196">
        <f>IF(I50&gt;J50,I50-J50,0)</f>
        <v>1.1041666666666692</v>
      </c>
      <c r="J52" s="197" t="str">
        <f>IF(J50&gt;I50,J50-I50,"")</f>
        <v/>
      </c>
      <c r="K52" s="204"/>
      <c r="L52" s="204"/>
    </row>
    <row r="53" spans="1:14" ht="13.5" thickBot="1" x14ac:dyDescent="0.25">
      <c r="A53" s="199" t="s">
        <v>15</v>
      </c>
      <c r="B53" s="199"/>
      <c r="C53" s="199"/>
      <c r="D53" s="199"/>
      <c r="E53" s="200"/>
      <c r="F53" s="200"/>
      <c r="G53" s="190" t="s">
        <v>13</v>
      </c>
      <c r="H53" s="281">
        <f>Aug!H54</f>
        <v>0.33333333333333331</v>
      </c>
      <c r="I53" s="201"/>
      <c r="J53" s="202"/>
      <c r="K53" s="204"/>
      <c r="L53" s="204"/>
    </row>
    <row r="54" spans="1:14" ht="13.5" thickBot="1" x14ac:dyDescent="0.25">
      <c r="A54" s="203" t="s">
        <v>4</v>
      </c>
      <c r="B54" s="203"/>
      <c r="C54" s="203"/>
      <c r="D54" s="203"/>
      <c r="E54" s="200" t="str">
        <f>IF(E55=" ", " ", "VERFALL  VORJAHRESURLAUB")</f>
        <v xml:space="preserve"> </v>
      </c>
      <c r="F54" s="200"/>
      <c r="G54" s="200"/>
      <c r="H54" s="281">
        <f>Aug!H55</f>
        <v>0.3125</v>
      </c>
      <c r="I54" s="200"/>
      <c r="J54" s="200"/>
      <c r="K54" s="204"/>
      <c r="L54" s="204"/>
    </row>
    <row r="55" spans="1:14" ht="13.35" customHeight="1" x14ac:dyDescent="0.2">
      <c r="A55" s="189"/>
      <c r="B55" s="189"/>
      <c r="C55" s="189"/>
      <c r="D55" s="189"/>
      <c r="E55" s="271" t="str">
        <f>Jan!E56</f>
        <v xml:space="preserve"> </v>
      </c>
      <c r="F55" s="206"/>
      <c r="G55" s="207" t="str">
        <f>IF(E55=" ", " ", IF(Mantelbogen!D26=I11,Mantelbogen!C29,Aug!G58))</f>
        <v xml:space="preserve"> </v>
      </c>
      <c r="H55" s="282">
        <v>0</v>
      </c>
      <c r="I55" s="223" t="s">
        <v>144</v>
      </c>
      <c r="J55" s="224"/>
      <c r="K55" s="204"/>
      <c r="L55" s="204"/>
    </row>
    <row r="56" spans="1:14" ht="13.5" thickBot="1" x14ac:dyDescent="0.25">
      <c r="A56" s="189"/>
      <c r="B56" s="189"/>
      <c r="C56" s="189"/>
      <c r="D56" s="189"/>
      <c r="E56" s="271" t="str">
        <f>Jan!E57</f>
        <v xml:space="preserve"> </v>
      </c>
      <c r="F56" s="207"/>
      <c r="G56" s="207" t="str">
        <f>IF(E55=" ", " ", -COUNTIF(C19:C48, "Urlaub*" ))</f>
        <v xml:space="preserve"> </v>
      </c>
      <c r="H56" s="283">
        <v>0</v>
      </c>
      <c r="I56" s="225"/>
      <c r="J56" s="226"/>
      <c r="K56" s="204"/>
      <c r="L56" s="204"/>
    </row>
    <row r="57" spans="1:14" ht="24.6" customHeight="1" thickBot="1" x14ac:dyDescent="0.25">
      <c r="A57" s="199" t="s">
        <v>10</v>
      </c>
      <c r="B57" s="199"/>
      <c r="C57" s="199"/>
      <c r="D57" s="199"/>
      <c r="E57" s="276" t="str">
        <f>Jan!E58</f>
        <v xml:space="preserve"> </v>
      </c>
      <c r="F57" s="277"/>
      <c r="G57" s="211" t="str">
        <f>IF(E55=" ", " ", IF(Mantelbogen!C29 &gt; 0.0001, G55+G56, 0))</f>
        <v xml:space="preserve"> </v>
      </c>
      <c r="H57" s="287">
        <f>SUM(H50:H56)</f>
        <v>1.6458333333333333</v>
      </c>
      <c r="I57" s="227"/>
      <c r="J57" s="228"/>
      <c r="L57" s="212" t="str">
        <f>Mantelbogen!D50</f>
        <v>15.12.2025  HAdW / G. Wolff</v>
      </c>
    </row>
    <row r="59" spans="1:14" x14ac:dyDescent="0.2">
      <c r="G59" s="214"/>
      <c r="H59" s="214"/>
      <c r="I59" s="214"/>
      <c r="J59" s="207"/>
    </row>
    <row r="60" spans="1:14" x14ac:dyDescent="0.2">
      <c r="G60" s="207"/>
      <c r="H60" s="207"/>
      <c r="I60" s="207"/>
      <c r="J60" s="207"/>
    </row>
    <row r="61" spans="1:14" x14ac:dyDescent="0.2">
      <c r="G61" s="207"/>
      <c r="H61" s="207"/>
    </row>
  </sheetData>
  <sheetProtection algorithmName="SHA-512" hashValue="X8AmYI/R+zVxxvb8dgSiexp7NnPKcJEqKDC/c4uxc2V9ofQoEYDuKQS0MHHLa2dPPjZv8OOtTyIkZ58WZsvC8A==" saltValue="zWvbXNUBagWFR3BAbOeFUA==" spinCount="100000" sheet="1" objects="1" scenarios="1"/>
  <mergeCells count="64">
    <mergeCell ref="A1:F2"/>
    <mergeCell ref="A3:F3"/>
    <mergeCell ref="A4:F6"/>
    <mergeCell ref="N48:N50"/>
    <mergeCell ref="I12:L13"/>
    <mergeCell ref="A53:D53"/>
    <mergeCell ref="J52:J53"/>
    <mergeCell ref="I52:I53"/>
    <mergeCell ref="F48:G48"/>
    <mergeCell ref="A50:D50"/>
    <mergeCell ref="I50:I51"/>
    <mergeCell ref="J50:J51"/>
    <mergeCell ref="A51:D52"/>
    <mergeCell ref="F47:G47"/>
    <mergeCell ref="F36:G36"/>
    <mergeCell ref="F37:G37"/>
    <mergeCell ref="F38:G38"/>
    <mergeCell ref="G59:I59"/>
    <mergeCell ref="A54:D54"/>
    <mergeCell ref="A55:D56"/>
    <mergeCell ref="I55:J57"/>
    <mergeCell ref="A57:D57"/>
    <mergeCell ref="F39:G39"/>
    <mergeCell ref="F40:G40"/>
    <mergeCell ref="F41:G41"/>
    <mergeCell ref="F42:G42"/>
    <mergeCell ref="F43:G43"/>
    <mergeCell ref="F44:G44"/>
    <mergeCell ref="F45:G45"/>
    <mergeCell ref="F46:G46"/>
    <mergeCell ref="F21:G21"/>
    <mergeCell ref="H15:H18"/>
    <mergeCell ref="F22:G22"/>
    <mergeCell ref="F35:G35"/>
    <mergeCell ref="F24:G24"/>
    <mergeCell ref="F25:G25"/>
    <mergeCell ref="F26:G26"/>
    <mergeCell ref="F27:G27"/>
    <mergeCell ref="F28:G28"/>
    <mergeCell ref="F29:G29"/>
    <mergeCell ref="F30:G30"/>
    <mergeCell ref="F31:G31"/>
    <mergeCell ref="F32:G32"/>
    <mergeCell ref="F34:G34"/>
    <mergeCell ref="D15:D18"/>
    <mergeCell ref="E15:E18"/>
    <mergeCell ref="F15:G18"/>
    <mergeCell ref="F19:G19"/>
    <mergeCell ref="F20:G20"/>
    <mergeCell ref="K50:K51"/>
    <mergeCell ref="L50:L51"/>
    <mergeCell ref="G1:J7"/>
    <mergeCell ref="A11:B11"/>
    <mergeCell ref="A13:B13"/>
    <mergeCell ref="A15:A18"/>
    <mergeCell ref="I15:J15"/>
    <mergeCell ref="I17:I18"/>
    <mergeCell ref="J17:J18"/>
    <mergeCell ref="K15:L16"/>
    <mergeCell ref="K17:L18"/>
    <mergeCell ref="F23:G23"/>
    <mergeCell ref="B15:B18"/>
    <mergeCell ref="C15:C18"/>
    <mergeCell ref="F33:G33"/>
  </mergeCells>
  <phoneticPr fontId="0" type="noConversion"/>
  <conditionalFormatting sqref="A19:A48 C19:L48">
    <cfRule type="expression" dxfId="29" priority="1">
      <formula>COUNT(SEARCH(Sonderarbeit,$N19))&gt;=1</formula>
    </cfRule>
  </conditionalFormatting>
  <conditionalFormatting sqref="A19:L48">
    <cfRule type="expression" dxfId="21" priority="5">
      <formula>AND(ISTEXT($C19),$C19&lt;&gt;"Kinderkrankentag",$C19&lt;&gt;"Urlaub",$C19&lt;&gt;"Krank",$C19&lt;&gt;"Ausgleich")</formula>
    </cfRule>
  </conditionalFormatting>
  <conditionalFormatting sqref="C19:C48">
    <cfRule type="expression" dxfId="28" priority="7">
      <formula>ISTEXT($C19)</formula>
    </cfRule>
  </conditionalFormatting>
  <conditionalFormatting sqref="D19:H48">
    <cfRule type="expression" dxfId="26" priority="4">
      <formula>AND(ISTEXT($C19),OR($C19="Kinderkrankentag",$C19="Urlaub",$C19="Krank",$C19="Ausgleich"))</formula>
    </cfRule>
  </conditionalFormatting>
  <conditionalFormatting sqref="D19:J48">
    <cfRule type="expression" dxfId="22" priority="3">
      <formula>AND(ISTEXT($C19),$C19&lt;&gt;"Kinderkrankentag",$C19&lt;&gt;"Urlaub",$C19&lt;&gt;"Krank",$C19&lt;&gt;"Ausgleich")</formula>
    </cfRule>
  </conditionalFormatting>
  <conditionalFormatting sqref="F19:F48">
    <cfRule type="expression" dxfId="24" priority="11">
      <formula>AND(ISNONTEXT($C19),$F19 &gt; 0.666667)</formula>
    </cfRule>
  </conditionalFormatting>
  <dataValidations count="1">
    <dataValidation type="custom" errorStyle="warning" allowBlank="1" showErrorMessage="1" errorTitle="Samstagsarbeit" error="Tragen Sie hier bitte nur etwas ein, wenn Sie tatsächlich REGELMÄßIG und angeordnet Samstag arbeiten. Ansonsten tragen Sie bitte am entsprechenden Tag in Spalte N „Samstagsarbeit“ ein und der entsprechende Tag wird verfügbar." promptTitle="Samstagsarbeit" prompt="Tragen Sie hier bitte nur etwas ein, wenn Sie tatsächlich REGELMÄßIG und angeordnet Samstag arbeiten. Ansonsten tragen Sie bitte am entsprechenden Tag in Spalte N „Samstagsarbeit“ ein und der entsprechende Tag wird verfügbar." sqref="H55" xr:uid="{99D7516A-7F06-49A2-B7D0-FA69AA4C92E9}">
      <formula1>$A$4="Arbeitszeitblatt"</formula1>
    </dataValidation>
  </dataValidations>
  <printOptions horizontalCentered="1" verticalCentered="1"/>
  <pageMargins left="1.0236220472440944" right="0.23622047244094491" top="0.15748031496062992" bottom="0.19685039370078741" header="0.15748031496062992" footer="0.15748031496062992"/>
  <pageSetup paperSize="9" scale="82" orientation="portrait" horizontalDpi="1200" verticalDpi="1200"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 id="{62647E95-37E4-4508-A8C2-494FB6C43D19}">
            <xm:f>OR(AND($B19=Ref!$A$7,$H$55=0), AND($B19=Ref!$A$8,$H$56=0), NOT( ISERROR(FIND("feiertag",LOWER($C19)) ) ) )</xm:f>
            <x14:dxf>
              <fill>
                <patternFill patternType="solid">
                  <bgColor theme="4" tint="0.79998168889431442"/>
                </patternFill>
              </fill>
            </x14:dxf>
          </x14:cfRule>
          <xm:sqref>A19:L48</xm:sqref>
        </x14:conditionalFormatting>
        <x14:conditionalFormatting xmlns:xm="http://schemas.microsoft.com/office/excel/2006/main">
          <x14:cfRule type="expression" priority="10" id="{5289A27B-B754-4127-8A65-C44DC3082476}">
            <xm:f>AND($B19=Ref!$A$8, $H$56&gt;0.00001)</xm:f>
            <x14:dxf>
              <font>
                <b val="0"/>
                <i val="0"/>
                <color theme="1"/>
              </font>
            </x14:dxf>
          </x14:cfRule>
          <xm:sqref>C19:C48</xm:sqref>
        </x14:conditionalFormatting>
        <x14:conditionalFormatting xmlns:xm="http://schemas.microsoft.com/office/excel/2006/main">
          <x14:cfRule type="expression" priority="8" id="{450DF288-47CE-4127-8266-A4231E424266}">
            <xm:f>OR(AND($B19=Ref!$A$7, $H$55&lt;0.00001),AND($B19=Ref!$A$8, $H$56&lt;0.00001))</xm:f>
            <x14:dxf>
              <font>
                <color theme="4" tint="0.79998168889431442"/>
              </font>
              <fill>
                <patternFill>
                  <bgColor theme="4" tint="0.79998168889431442"/>
                </patternFill>
              </fill>
            </x14:dxf>
          </x14:cfRule>
          <xm:sqref>C19:J48</xm:sqref>
        </x14:conditionalFormatting>
        <x14:conditionalFormatting xmlns:xm="http://schemas.microsoft.com/office/excel/2006/main">
          <x14:cfRule type="expression" priority="2" id="{29540C73-A66D-42C6-BACF-961B15FCE29A}">
            <xm:f>AND(OR(AND($F19 &gt; 0.250001, $E19 &lt; 0.020833332), AND($F19 &gt; 0.375, $E19 &lt; 0.03124999)  ),OR(AND($B4&lt;&gt;Ref!$A$7, $B4&lt;&gt;Ref!$A$8),COUNT(SEARCH(Sonderarbeit,$N19))&gt;=1),ISNUMBER($C19))</xm:f>
            <x14:dxf>
              <fill>
                <patternFill>
                  <bgColor rgb="FFFF0000"/>
                </patternFill>
              </fill>
            </x14:dxf>
          </x14:cfRule>
          <xm:sqref>E19:E48</xm:sqref>
        </x14:conditionalFormatting>
        <x14:conditionalFormatting xmlns:xm="http://schemas.microsoft.com/office/excel/2006/main">
          <x14:cfRule type="expression" priority="9" id="{7B08493D-6490-4AD2-831C-BD17AB866FDA}">
            <xm:f>AND($B19=Ref!$A$7, $H$55&gt;0.00001)</xm:f>
            <x14:dxf>
              <font>
                <b val="0"/>
                <i val="0"/>
                <color theme="1"/>
              </font>
            </x14:dxf>
          </x14:cfRule>
          <xm:sqref>F19:G48</xm:sqref>
        </x14:conditionalFormatting>
      </x14:conditionalFormattings>
    </ext>
    <ext xmlns:x14="http://schemas.microsoft.com/office/spreadsheetml/2009/9/main" uri="{CCE6A557-97BC-4b89-ADB6-D9C93CAAB3DF}">
      <x14:dataValidations xmlns:xm="http://schemas.microsoft.com/office/excel/2006/main" count="1">
        <x14:dataValidation type="custom" errorStyle="information" allowBlank="1" showInputMessage="1" showErrorMessage="1" errorTitle="Samstagsarbeit" error="Tragen Sie hier bitte nur die tasächlich angefallene Arbeit ein. Tragen Sie ggf. anfallende Zuschläge auf ein separates Tabellenblatt ein und übertragen diese in das Kästchen I49." xr:uid="{C347761C-87EE-4087-B4A4-7B56E685951B}">
          <x14:formula1>
            <xm:f>NOT(OFFSET(C19,0,2-COLUMN(C19))=Ref!$A$7)</xm:f>
          </x14:formula1>
          <xm:sqref>C19:E48</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pageSetUpPr fitToPage="1"/>
  </sheetPr>
  <dimension ref="A1:N60"/>
  <sheetViews>
    <sheetView zoomScaleNormal="100" workbookViewId="0">
      <selection sqref="A1:F2"/>
    </sheetView>
  </sheetViews>
  <sheetFormatPr defaultColWidth="11.5703125" defaultRowHeight="12.75" x14ac:dyDescent="0.2"/>
  <cols>
    <col min="1" max="1" width="5.5703125" style="125" customWidth="1"/>
    <col min="2" max="2" width="9.85546875" style="102" bestFit="1" customWidth="1"/>
    <col min="3" max="3" width="20.7109375" style="102" bestFit="1" customWidth="1"/>
    <col min="4" max="4" width="13.7109375" style="102" bestFit="1" customWidth="1"/>
    <col min="5" max="5" width="11.28515625" style="98" customWidth="1"/>
    <col min="6" max="6" width="7.85546875" style="98" customWidth="1"/>
    <col min="7" max="7" width="3.5703125" style="98" customWidth="1"/>
    <col min="8" max="8" width="14.140625" style="98" bestFit="1" customWidth="1"/>
    <col min="9" max="9" width="11" style="98" bestFit="1" customWidth="1"/>
    <col min="10" max="10" width="12.140625" style="98" bestFit="1" customWidth="1"/>
    <col min="11" max="11" width="2.85546875" style="98" customWidth="1"/>
    <col min="12" max="12" width="8.85546875" style="98" customWidth="1"/>
    <col min="13" max="13" width="16.42578125" style="99" customWidth="1"/>
    <col min="14" max="14" width="19.42578125" style="100" bestFit="1" customWidth="1"/>
    <col min="15" max="16384" width="11.5703125" style="98"/>
  </cols>
  <sheetData>
    <row r="1" spans="1:14" ht="15" customHeight="1" x14ac:dyDescent="0.2">
      <c r="A1" s="215" t="s">
        <v>48</v>
      </c>
      <c r="B1" s="215"/>
      <c r="C1" s="215"/>
      <c r="D1" s="215"/>
      <c r="E1" s="215"/>
      <c r="F1" s="215"/>
      <c r="G1" s="97" t="s">
        <v>9</v>
      </c>
      <c r="H1" s="97"/>
      <c r="I1" s="97"/>
      <c r="J1" s="97"/>
    </row>
    <row r="2" spans="1:14" ht="15" customHeight="1" x14ac:dyDescent="0.2">
      <c r="A2" s="215"/>
      <c r="B2" s="215"/>
      <c r="C2" s="215"/>
      <c r="D2" s="215"/>
      <c r="E2" s="215"/>
      <c r="F2" s="215"/>
      <c r="G2" s="97"/>
      <c r="H2" s="97"/>
      <c r="I2" s="97"/>
      <c r="J2" s="97"/>
    </row>
    <row r="3" spans="1:14" x14ac:dyDescent="0.2">
      <c r="A3" s="216" t="s">
        <v>11</v>
      </c>
      <c r="B3" s="216"/>
      <c r="C3" s="216"/>
      <c r="D3" s="216"/>
      <c r="E3" s="216"/>
      <c r="F3" s="216"/>
      <c r="G3" s="97"/>
      <c r="H3" s="97"/>
      <c r="I3" s="97"/>
      <c r="J3" s="97"/>
    </row>
    <row r="4" spans="1:14" ht="13.35" customHeight="1" x14ac:dyDescent="0.2">
      <c r="A4" s="217" t="s">
        <v>5</v>
      </c>
      <c r="B4" s="217"/>
      <c r="C4" s="217"/>
      <c r="D4" s="217"/>
      <c r="E4" s="217"/>
      <c r="F4" s="217"/>
      <c r="G4" s="97"/>
      <c r="H4" s="97"/>
      <c r="I4" s="97"/>
      <c r="J4" s="97"/>
    </row>
    <row r="5" spans="1:14" ht="6" customHeight="1" x14ac:dyDescent="0.2">
      <c r="A5" s="217"/>
      <c r="B5" s="217"/>
      <c r="C5" s="217"/>
      <c r="D5" s="217"/>
      <c r="E5" s="217"/>
      <c r="F5" s="217"/>
      <c r="G5" s="97"/>
      <c r="H5" s="97"/>
      <c r="I5" s="97"/>
      <c r="J5" s="97"/>
    </row>
    <row r="6" spans="1:14" ht="13.35" customHeight="1" x14ac:dyDescent="0.2">
      <c r="A6" s="217"/>
      <c r="B6" s="217"/>
      <c r="C6" s="217"/>
      <c r="D6" s="217"/>
      <c r="E6" s="217"/>
      <c r="F6" s="217"/>
      <c r="G6" s="97"/>
      <c r="H6" s="97"/>
      <c r="I6" s="97"/>
      <c r="J6" s="97"/>
    </row>
    <row r="7" spans="1:14" ht="13.35" customHeight="1" x14ac:dyDescent="0.2">
      <c r="A7" s="102"/>
      <c r="B7" s="101"/>
      <c r="C7" s="101"/>
      <c r="D7" s="101"/>
      <c r="E7" s="101"/>
      <c r="F7" s="101"/>
      <c r="G7" s="97"/>
      <c r="H7" s="97"/>
      <c r="I7" s="97"/>
      <c r="J7" s="97"/>
    </row>
    <row r="8" spans="1:14" ht="6" customHeight="1" thickBot="1" x14ac:dyDescent="0.25">
      <c r="A8" s="103"/>
      <c r="B8" s="104"/>
      <c r="C8" s="104"/>
      <c r="D8" s="104"/>
      <c r="E8" s="105"/>
      <c r="F8" s="105"/>
      <c r="G8" s="105"/>
      <c r="H8" s="105"/>
      <c r="I8" s="106"/>
      <c r="J8" s="106"/>
      <c r="K8" s="107"/>
      <c r="L8" s="108"/>
    </row>
    <row r="9" spans="1:14" ht="6" customHeight="1" x14ac:dyDescent="0.2">
      <c r="A9" s="109"/>
      <c r="B9" s="110"/>
      <c r="C9" s="110"/>
      <c r="D9" s="110"/>
      <c r="E9" s="111"/>
      <c r="F9" s="111"/>
      <c r="G9" s="111"/>
      <c r="H9" s="111"/>
      <c r="I9" s="112"/>
      <c r="J9" s="112"/>
      <c r="K9" s="113"/>
      <c r="L9" s="114"/>
    </row>
    <row r="10" spans="1:14" x14ac:dyDescent="0.2">
      <c r="A10" s="109"/>
      <c r="B10" s="110"/>
      <c r="C10" s="110"/>
      <c r="D10" s="110"/>
      <c r="E10" s="111"/>
      <c r="F10" s="111"/>
      <c r="G10" s="111"/>
      <c r="I10" s="112"/>
      <c r="J10" s="112"/>
      <c r="K10" s="113"/>
      <c r="L10" s="114"/>
    </row>
    <row r="11" spans="1:14" x14ac:dyDescent="0.2">
      <c r="A11" s="115" t="s">
        <v>6</v>
      </c>
      <c r="B11" s="115"/>
      <c r="C11" s="116" t="str">
        <f>Sep!C11</f>
        <v>ATHENE, Pallas</v>
      </c>
      <c r="D11" s="117"/>
      <c r="E11" s="118"/>
      <c r="F11" s="119"/>
      <c r="G11" s="119" t="s">
        <v>8</v>
      </c>
      <c r="H11" s="120"/>
      <c r="I11" s="121">
        <f>DATE(J11,10,1)</f>
        <v>46296</v>
      </c>
      <c r="J11" s="122">
        <f>Jan!J11</f>
        <v>2026</v>
      </c>
      <c r="K11" s="123"/>
      <c r="L11" s="124"/>
    </row>
    <row r="12" spans="1:14" x14ac:dyDescent="0.2">
      <c r="B12" s="114"/>
      <c r="C12" s="126"/>
      <c r="D12" s="127"/>
      <c r="E12" s="119"/>
      <c r="F12" s="119"/>
      <c r="G12" s="111"/>
      <c r="I12" s="112"/>
      <c r="J12" s="128"/>
      <c r="K12" s="113"/>
      <c r="L12" s="114"/>
    </row>
    <row r="13" spans="1:14" x14ac:dyDescent="0.2">
      <c r="A13" s="115" t="s">
        <v>7</v>
      </c>
      <c r="B13" s="115"/>
      <c r="C13" s="129" t="str">
        <f>Sep!C13</f>
        <v>Geschäftsstelle</v>
      </c>
      <c r="D13" s="130"/>
      <c r="E13" s="118"/>
      <c r="F13" s="131"/>
      <c r="G13" s="131"/>
      <c r="H13" s="120"/>
      <c r="I13" s="117"/>
      <c r="J13" s="118"/>
      <c r="K13" s="123"/>
      <c r="L13" s="124"/>
    </row>
    <row r="14" spans="1:14" ht="13.5" thickBot="1" x14ac:dyDescent="0.25">
      <c r="K14" s="113"/>
      <c r="L14" s="114"/>
    </row>
    <row r="15" spans="1:14" ht="13.35" customHeight="1" x14ac:dyDescent="0.2">
      <c r="A15" s="132"/>
      <c r="B15" s="132" t="s">
        <v>14</v>
      </c>
      <c r="C15" s="132" t="s">
        <v>110</v>
      </c>
      <c r="D15" s="132" t="s">
        <v>145</v>
      </c>
      <c r="E15" s="132" t="s">
        <v>16</v>
      </c>
      <c r="F15" s="133" t="s">
        <v>42</v>
      </c>
      <c r="G15" s="133"/>
      <c r="H15" s="134" t="s">
        <v>43</v>
      </c>
      <c r="I15" s="135" t="s">
        <v>0</v>
      </c>
      <c r="J15" s="136"/>
      <c r="K15" s="137" t="s">
        <v>41</v>
      </c>
      <c r="L15" s="138"/>
      <c r="M15" s="139"/>
      <c r="N15" s="140"/>
    </row>
    <row r="16" spans="1:14" ht="13.5" thickBot="1" x14ac:dyDescent="0.25">
      <c r="A16" s="132"/>
      <c r="B16" s="132"/>
      <c r="C16" s="132"/>
      <c r="D16" s="132"/>
      <c r="E16" s="132"/>
      <c r="F16" s="133"/>
      <c r="G16" s="133"/>
      <c r="H16" s="141"/>
      <c r="I16" s="142" t="s">
        <v>1</v>
      </c>
      <c r="J16" s="143" t="s">
        <v>2</v>
      </c>
      <c r="K16" s="144"/>
      <c r="L16" s="145"/>
      <c r="M16" s="139"/>
      <c r="N16" s="146"/>
    </row>
    <row r="17" spans="1:14" ht="13.5" thickBot="1" x14ac:dyDescent="0.25">
      <c r="A17" s="132"/>
      <c r="B17" s="132"/>
      <c r="C17" s="132"/>
      <c r="D17" s="132"/>
      <c r="E17" s="132"/>
      <c r="F17" s="133"/>
      <c r="G17" s="133"/>
      <c r="H17" s="141"/>
      <c r="I17" s="147">
        <f>IF(Mantelbogen!D26=I11,Mantelbogen!C28,Sep!I52)</f>
        <v>1.1041666666666692</v>
      </c>
      <c r="J17" s="148" t="str">
        <f>IF(Mantelbogen!D26=I11,Mantelbogen!D28,Sep!J52)</f>
        <v/>
      </c>
      <c r="K17" s="149" t="str">
        <f>IF(I17/H58 &gt; 1, I17/H58, " " )</f>
        <v xml:space="preserve"> </v>
      </c>
      <c r="L17" s="150"/>
      <c r="N17" s="151"/>
    </row>
    <row r="18" spans="1:14" ht="13.5" thickBot="1" x14ac:dyDescent="0.25">
      <c r="A18" s="132"/>
      <c r="B18" s="132"/>
      <c r="C18" s="132"/>
      <c r="D18" s="132"/>
      <c r="E18" s="132"/>
      <c r="F18" s="133"/>
      <c r="G18" s="133"/>
      <c r="H18" s="152"/>
      <c r="I18" s="147"/>
      <c r="J18" s="148"/>
      <c r="K18" s="153"/>
      <c r="L18" s="154"/>
      <c r="N18" s="151"/>
    </row>
    <row r="19" spans="1:14" ht="17.45" customHeight="1" x14ac:dyDescent="0.35">
      <c r="A19" s="155">
        <v>1</v>
      </c>
      <c r="B19" s="156" t="str">
        <f>TEXT(DATE(J$11,MONTH(I$11),A19),Textcode)</f>
        <v>Donnerstag</v>
      </c>
      <c r="C19" s="157">
        <v>0.35416666666666669</v>
      </c>
      <c r="D19" s="157">
        <v>0.70833333333333337</v>
      </c>
      <c r="E19" s="157">
        <v>2.0833333333333332E-2</v>
      </c>
      <c r="F19" s="158">
        <f>IF(ISTEXT(C19),,D19-C19-E19)</f>
        <v>0.33333333333333337</v>
      </c>
      <c r="G19" s="159"/>
      <c r="H19" s="160">
        <f t="shared" ref="H19:H23" si="0">IF(AND(ISTEXT(C19),ISERR(SEARCH("ausgleich",C19,1))),,INDEX(H$51:H$58,WEEKDAY(DATE(J$11,MONTH(I$11),A19),2),1,1))</f>
        <v>0.33333333333333331</v>
      </c>
      <c r="I19" s="161" t="str" cm="1">
        <f t="array" ref="I19">IF(AND(F19&gt;H19,OR(AND(OR($B19&lt;&gt;Ref!$A$7,$H$56&gt;0),OR($B19&lt;&gt;Ref!$A$8,$H$57&gt;0)),COUNT(SEARCH(Sonderarbeit,$N19))&gt;=1),ISNONTEXT(C19),C19&lt;&gt;""),F19-H19,"")</f>
        <v/>
      </c>
      <c r="J19" s="162" t="str" cm="1">
        <f t="array" ref="J19">IF(OR(AND(F19&lt;H19,OR(AND(OR($B19&lt;&gt;Ref!$A$7,$H$56&gt;0),OR($B19&lt;&gt;Ref!$A$8,$H$57&gt;0)),COUNT(SEARCH(Sonderarbeit,$N19))&gt;=1)),C19="Ausgleich"),H19-F19,"")</f>
        <v/>
      </c>
      <c r="K19" s="163" t="str">
        <f>IF(AND(B19=Ref!$A$8,SUM(I19:I19)&lt;SUM(J19:J19)),"-","")</f>
        <v/>
      </c>
      <c r="L19" s="164" t="str">
        <f>IF(B19=Ref!$A$8,ABS(SUM(I19:I19)-SUM(J19:J19)),"")</f>
        <v/>
      </c>
      <c r="N19" s="165"/>
    </row>
    <row r="20" spans="1:14" ht="17.45" customHeight="1" x14ac:dyDescent="0.35">
      <c r="A20" s="155">
        <v>2</v>
      </c>
      <c r="B20" s="156" t="str">
        <f t="shared" ref="B20:B49" si="1">TEXT(DATE(J$11,MONTH(I$11),A20),Textcode)</f>
        <v>Freitag</v>
      </c>
      <c r="C20" s="157">
        <v>0.35416666666666669</v>
      </c>
      <c r="D20" s="157">
        <v>0.70833333333333337</v>
      </c>
      <c r="E20" s="157">
        <v>2.0833333333333332E-2</v>
      </c>
      <c r="F20" s="158">
        <f>IF(ISTEXT(C20),,D20-C20-E20)</f>
        <v>0.33333333333333337</v>
      </c>
      <c r="G20" s="159"/>
      <c r="H20" s="160">
        <f t="shared" si="0"/>
        <v>0.3125</v>
      </c>
      <c r="I20" s="161" cm="1">
        <f t="array" ref="I20">IF(AND(F20&gt;H20,OR(AND(OR($B20&lt;&gt;Ref!$A$7,$H$56&gt;0),OR($B20&lt;&gt;Ref!$A$8,$H$57&gt;0)),COUNT(SEARCH(Sonderarbeit,$N20))&gt;=1),ISNONTEXT(C20),C20&lt;&gt;""),F20-H20,"")</f>
        <v>2.083333333333337E-2</v>
      </c>
      <c r="J20" s="162" t="str" cm="1">
        <f t="array" ref="J20">IF(OR(AND(F20&lt;H20,OR(AND(OR($B20&lt;&gt;Ref!$A$7,$H$56&gt;0),OR($B20&lt;&gt;Ref!$A$8,$H$57&gt;0)),COUNT(SEARCH(Sonderarbeit,$N20))&gt;=1)),C20="Ausgleich"),H20-F20,"")</f>
        <v/>
      </c>
      <c r="K20" s="166" t="str">
        <f>IF(AND(B20=Ref!$A$8,SUM(I19:I20)&lt;SUM(J19:J20)),"-","")</f>
        <v/>
      </c>
      <c r="L20" s="167" t="str">
        <f>IF(B20=Ref!$A$8,ABS(SUM(I19:I20)-SUM(J19:J20)),"")</f>
        <v/>
      </c>
    </row>
    <row r="21" spans="1:14" ht="17.45" customHeight="1" x14ac:dyDescent="0.35">
      <c r="A21" s="155">
        <v>3</v>
      </c>
      <c r="B21" s="156" t="str">
        <f t="shared" si="1"/>
        <v>Samstag</v>
      </c>
      <c r="C21" s="157" t="s">
        <v>87</v>
      </c>
      <c r="D21" s="157">
        <v>0.70833333333333337</v>
      </c>
      <c r="E21" s="157">
        <v>2.0833333333333332E-2</v>
      </c>
      <c r="F21" s="158">
        <f>IF(ISTEXT(C21),,D21-C21-E21)</f>
        <v>0</v>
      </c>
      <c r="G21" s="159"/>
      <c r="H21" s="160">
        <f t="shared" si="0"/>
        <v>0</v>
      </c>
      <c r="I21" s="161" t="str" cm="1">
        <f t="array" ref="I21">IF(AND(F21&gt;H21,OR(AND(OR($B21&lt;&gt;Ref!$A$7,$H$56&gt;0),OR($B21&lt;&gt;Ref!$A$8,$H$57&gt;0)),COUNT(SEARCH(Sonderarbeit,$N21))&gt;=1),ISNONTEXT(C21),C21&lt;&gt;""),F21-H21,"")</f>
        <v/>
      </c>
      <c r="J21" s="162" t="str" cm="1">
        <f t="array" ref="J21">IF(OR(AND(F21&lt;H21,OR(AND(OR($B21&lt;&gt;Ref!$A$7,$H$56&gt;0),OR($B21&lt;&gt;Ref!$A$8,$H$57&gt;0)),COUNT(SEARCH(Sonderarbeit,$N21))&gt;=1)),C21="Ausgleich"),H21-F21,"")</f>
        <v/>
      </c>
      <c r="K21" s="166" t="str">
        <f>IF(AND(B21=Ref!$A$8,SUM(I19:I21)&lt;SUM(J19:J21)),"-","")</f>
        <v/>
      </c>
      <c r="L21" s="167" t="str">
        <f>IF(B21=Ref!$A$8,ABS(SUM(I19:I21)-SUM(J19:J21)),"")</f>
        <v/>
      </c>
    </row>
    <row r="22" spans="1:14" ht="17.45" customHeight="1" x14ac:dyDescent="0.35">
      <c r="A22" s="168">
        <v>4</v>
      </c>
      <c r="B22" s="156" t="str">
        <f t="shared" si="1"/>
        <v>Sonntag</v>
      </c>
      <c r="C22" s="157">
        <v>0.35416666666666669</v>
      </c>
      <c r="D22" s="157">
        <v>0.70833333333333337</v>
      </c>
      <c r="E22" s="157">
        <v>2.0833333333333332E-2</v>
      </c>
      <c r="F22" s="158">
        <f>IF(ISTEXT(C22),,D22-C22-E22)</f>
        <v>0.33333333333333337</v>
      </c>
      <c r="G22" s="159"/>
      <c r="H22" s="160">
        <f t="shared" si="0"/>
        <v>0</v>
      </c>
      <c r="I22" s="161" t="str" cm="1">
        <f t="array" ref="I22">IF(AND(F22&gt;H22,OR(AND(OR($B22&lt;&gt;Ref!$A$7,$H$56&gt;0),OR($B22&lt;&gt;Ref!$A$8,$H$57&gt;0)),COUNT(SEARCH(Sonderarbeit,$N22))&gt;=1),ISNONTEXT(C22),C22&lt;&gt;""),F22-H22,"")</f>
        <v/>
      </c>
      <c r="J22" s="162" t="str" cm="1">
        <f t="array" ref="J22">IF(OR(AND(F22&lt;H22,OR(AND(OR($B22&lt;&gt;Ref!$A$7,$H$56&gt;0),OR($B22&lt;&gt;Ref!$A$8,$H$57&gt;0)),COUNT(SEARCH(Sonderarbeit,$N22))&gt;=1)),C22="Ausgleich"),H22-F22,"")</f>
        <v/>
      </c>
      <c r="K22" s="166" t="str">
        <f>IF(AND(B22=Ref!$A$8,SUM(I19:I22)&lt;SUM(J19:J22)),"-","")</f>
        <v/>
      </c>
      <c r="L22" s="167">
        <f>IF(B22=Ref!$A$8,ABS(SUM(I19:I22)-SUM(J19:J22)),"")</f>
        <v>2.083333333333337E-2</v>
      </c>
      <c r="N22" s="169"/>
    </row>
    <row r="23" spans="1:14" ht="17.45" customHeight="1" x14ac:dyDescent="0.35">
      <c r="A23" s="168">
        <v>5</v>
      </c>
      <c r="B23" s="156" t="str">
        <f t="shared" si="1"/>
        <v>Montag</v>
      </c>
      <c r="C23" s="157">
        <v>0.35416666666666669</v>
      </c>
      <c r="D23" s="157">
        <v>0.70833333333333337</v>
      </c>
      <c r="E23" s="157">
        <v>2.0833333333333332E-2</v>
      </c>
      <c r="F23" s="158">
        <f>IF(ISTEXT(C23),,D23-C23-E23)</f>
        <v>0.33333333333333337</v>
      </c>
      <c r="G23" s="159"/>
      <c r="H23" s="160">
        <f t="shared" si="0"/>
        <v>0.33333333333333331</v>
      </c>
      <c r="I23" s="161" t="str" cm="1">
        <f t="array" ref="I23">IF(AND(F23&gt;H23,OR(AND(OR($B23&lt;&gt;Ref!$A$7,$H$56&gt;0),OR($B23&lt;&gt;Ref!$A$8,$H$57&gt;0)),COUNT(SEARCH(Sonderarbeit,$N23))&gt;=1),ISNONTEXT(C23),C23&lt;&gt;""),F23-H23,"")</f>
        <v/>
      </c>
      <c r="J23" s="162" t="str" cm="1">
        <f t="array" ref="J23">IF(OR(AND(F23&lt;H23,OR(AND(OR($B23&lt;&gt;Ref!$A$7,$H$56&gt;0),OR($B23&lt;&gt;Ref!$A$8,$H$57&gt;0)),COUNT(SEARCH(Sonderarbeit,$N23))&gt;=1)),C23="Ausgleich"),H23-F23,"")</f>
        <v/>
      </c>
      <c r="K23" s="166" t="str">
        <f>IF(AND(B23=Ref!$A$8,SUM(I19:I23)&lt;SUM(J19:J23)),"-","")</f>
        <v/>
      </c>
      <c r="L23" s="167" t="str">
        <f>IF(B23=Ref!$A$8,ABS(SUM(I19:I23)-SUM(J19:J23)),"")</f>
        <v/>
      </c>
    </row>
    <row r="24" spans="1:14" ht="17.45" customHeight="1" x14ac:dyDescent="0.35">
      <c r="A24" s="155">
        <v>6</v>
      </c>
      <c r="B24" s="156" t="str">
        <f t="shared" si="1"/>
        <v>Dienstag</v>
      </c>
      <c r="C24" s="157">
        <v>0.35416666666666669</v>
      </c>
      <c r="D24" s="157">
        <v>0.70833333333333337</v>
      </c>
      <c r="E24" s="157">
        <v>2.0833333333333332E-2</v>
      </c>
      <c r="F24" s="158">
        <f>IF(ISTEXT(C24),,D24-C24-E24)</f>
        <v>0.33333333333333337</v>
      </c>
      <c r="G24" s="159"/>
      <c r="H24" s="160">
        <f>IF(AND(ISTEXT(C24),ISERR(SEARCH("ausgleich",C24,1))),,INDEX(H$51:H$58,WEEKDAY(DATE(J$11,MONTH(I$11),A24),2),1,1))</f>
        <v>0.33333333333333331</v>
      </c>
      <c r="I24" s="161" t="str" cm="1">
        <f t="array" ref="I24">IF(AND(F24&gt;H24,OR(AND(OR($B24&lt;&gt;Ref!$A$7,$H$56&gt;0),OR($B24&lt;&gt;Ref!$A$8,$H$57&gt;0)),COUNT(SEARCH(Sonderarbeit,$N24))&gt;=1),ISNONTEXT(C24),C24&lt;&gt;""),F24-H24,"")</f>
        <v/>
      </c>
      <c r="J24" s="162" t="str" cm="1">
        <f t="array" ref="J24">IF(OR(AND(F24&lt;H24,OR(AND(OR($B24&lt;&gt;Ref!$A$7,$H$56&gt;0),OR($B24&lt;&gt;Ref!$A$8,$H$57&gt;0)),COUNT(SEARCH(Sonderarbeit,$N24))&gt;=1)),C24="Ausgleich"),H24-F24,"")</f>
        <v/>
      </c>
      <c r="K24" s="166" t="str">
        <f>IF(AND(B24=Ref!$A$8,SUM(I19:I24)&lt;SUM(J19:J24)),"-","")</f>
        <v/>
      </c>
      <c r="L24" s="167" t="str">
        <f>IF(B24=Ref!$A$8,ABS(SUM(I19:I24)-SUM(J19:J24)),"")</f>
        <v/>
      </c>
    </row>
    <row r="25" spans="1:14" ht="17.45" customHeight="1" x14ac:dyDescent="0.35">
      <c r="A25" s="168">
        <v>7</v>
      </c>
      <c r="B25" s="156" t="str">
        <f t="shared" si="1"/>
        <v>Mittwoch</v>
      </c>
      <c r="C25" s="157">
        <v>0.35416666666666669</v>
      </c>
      <c r="D25" s="157">
        <v>0.70833333333333337</v>
      </c>
      <c r="E25" s="157">
        <v>2.0833333333333332E-2</v>
      </c>
      <c r="F25" s="158">
        <f>IF(ISTEXT(C25),,D25-C25-E25)</f>
        <v>0.33333333333333337</v>
      </c>
      <c r="G25" s="159"/>
      <c r="H25" s="160">
        <f t="shared" ref="H25:H49" si="2">IF(AND(ISTEXT(C25),ISERR(SEARCH("ausgleich",C25,1))),,INDEX(H$51:H$58,WEEKDAY(DATE(J$11,MONTH(I$11),A25),2),1,1))</f>
        <v>0.33333333333333331</v>
      </c>
      <c r="I25" s="161" t="str" cm="1">
        <f t="array" ref="I25">IF(AND(F25&gt;H25,OR(AND(OR($B25&lt;&gt;Ref!$A$7,$H$56&gt;0),OR($B25&lt;&gt;Ref!$A$8,$H$57&gt;0)),COUNT(SEARCH(Sonderarbeit,$N25))&gt;=1),ISNONTEXT(C25),C25&lt;&gt;""),F25-H25,"")</f>
        <v/>
      </c>
      <c r="J25" s="162" t="str" cm="1">
        <f t="array" ref="J25">IF(OR(AND(F25&lt;H25,OR(AND(OR($B25&lt;&gt;Ref!$A$7,$H$56&gt;0),OR($B25&lt;&gt;Ref!$A$8,$H$57&gt;0)),COUNT(SEARCH(Sonderarbeit,$N25))&gt;=1)),C25="Ausgleich"),H25-F25,"")</f>
        <v/>
      </c>
      <c r="K25" s="166" t="str">
        <f>IF(AND(B25=Ref!$A$8,SUM(I19:I25)&lt;SUM(J19:J25)),"-","")</f>
        <v/>
      </c>
      <c r="L25" s="167" t="str">
        <f>IF(B25=Ref!$A$8,ABS(SUM(I19:I25)-SUM(J19:J25)),"")</f>
        <v/>
      </c>
    </row>
    <row r="26" spans="1:14" ht="17.45" customHeight="1" x14ac:dyDescent="0.35">
      <c r="A26" s="168">
        <v>8</v>
      </c>
      <c r="B26" s="156" t="str">
        <f t="shared" si="1"/>
        <v>Donnerstag</v>
      </c>
      <c r="C26" s="157">
        <v>0.35416666666666669</v>
      </c>
      <c r="D26" s="157">
        <v>0.70833333333333337</v>
      </c>
      <c r="E26" s="157">
        <v>2.0833333333333332E-2</v>
      </c>
      <c r="F26" s="158">
        <f>IF(ISTEXT(C26),,D26-C26-E26)</f>
        <v>0.33333333333333337</v>
      </c>
      <c r="G26" s="159"/>
      <c r="H26" s="160">
        <f t="shared" si="2"/>
        <v>0.33333333333333331</v>
      </c>
      <c r="I26" s="161" t="str" cm="1">
        <f t="array" ref="I26">IF(AND(F26&gt;H26,OR(AND(OR($B26&lt;&gt;Ref!$A$7,$H$56&gt;0),OR($B26&lt;&gt;Ref!$A$8,$H$57&gt;0)),COUNT(SEARCH(Sonderarbeit,$N26))&gt;=1),ISNONTEXT(C26),C26&lt;&gt;""),F26-H26,"")</f>
        <v/>
      </c>
      <c r="J26" s="162" t="str" cm="1">
        <f t="array" ref="J26">IF(OR(AND(F26&lt;H26,OR(AND(OR($B26&lt;&gt;Ref!$A$7,$H$56&gt;0),OR($B26&lt;&gt;Ref!$A$8,$H$57&gt;0)),COUNT(SEARCH(Sonderarbeit,$N26))&gt;=1)),C26="Ausgleich"),H26-F26,"")</f>
        <v/>
      </c>
      <c r="K26" s="166" t="str">
        <f>IF(AND(B26=Ref!$A$8,SUM(I20:I26)&lt;SUM(J20:J26)),"-","")</f>
        <v/>
      </c>
      <c r="L26" s="167" t="str">
        <f>IF(B26=Ref!$A$8,ABS(SUM(I20:I26)-SUM(J20:J26)),"")</f>
        <v/>
      </c>
    </row>
    <row r="27" spans="1:14" ht="17.45" customHeight="1" x14ac:dyDescent="0.35">
      <c r="A27" s="155">
        <v>9</v>
      </c>
      <c r="B27" s="156" t="str">
        <f t="shared" si="1"/>
        <v>Freitag</v>
      </c>
      <c r="C27" s="157">
        <v>0.35416666666666669</v>
      </c>
      <c r="D27" s="157">
        <v>0.70833333333333337</v>
      </c>
      <c r="E27" s="157">
        <v>2.0833333333333332E-2</v>
      </c>
      <c r="F27" s="158">
        <f>IF(ISTEXT(C27),,D27-C27-E27)</f>
        <v>0.33333333333333337</v>
      </c>
      <c r="G27" s="159"/>
      <c r="H27" s="160">
        <f t="shared" si="2"/>
        <v>0.3125</v>
      </c>
      <c r="I27" s="161" cm="1">
        <f t="array" ref="I27">IF(AND(F27&gt;H27,OR(AND(OR($B27&lt;&gt;Ref!$A$7,$H$56&gt;0),OR($B27&lt;&gt;Ref!$A$8,$H$57&gt;0)),COUNT(SEARCH(Sonderarbeit,$N27))&gt;=1),ISNONTEXT(C27),C27&lt;&gt;""),F27-H27,"")</f>
        <v>2.083333333333337E-2</v>
      </c>
      <c r="J27" s="162" t="str" cm="1">
        <f t="array" ref="J27">IF(OR(AND(F27&lt;H27,OR(AND(OR($B27&lt;&gt;Ref!$A$7,$H$56&gt;0),OR($B27&lt;&gt;Ref!$A$8,$H$57&gt;0)),COUNT(SEARCH(Sonderarbeit,$N27))&gt;=1)),C27="Ausgleich"),H27-F27,"")</f>
        <v/>
      </c>
      <c r="K27" s="166" t="str">
        <f>IF(AND(B27=Ref!$A$8,SUM(I21:I27)&lt;SUM(J21:J27)),"-","")</f>
        <v/>
      </c>
      <c r="L27" s="167" t="str">
        <f>IF(B27=Ref!$A$8,ABS(SUM(I21:I27)-SUM(J21:J27)),"")</f>
        <v/>
      </c>
    </row>
    <row r="28" spans="1:14" ht="17.45" customHeight="1" x14ac:dyDescent="0.35">
      <c r="A28" s="155">
        <v>10</v>
      </c>
      <c r="B28" s="156" t="str">
        <f t="shared" si="1"/>
        <v>Samstag</v>
      </c>
      <c r="C28" s="157">
        <v>0.35416666666666669</v>
      </c>
      <c r="D28" s="157">
        <v>0.70833333333333337</v>
      </c>
      <c r="E28" s="157">
        <v>2.0833333333333332E-2</v>
      </c>
      <c r="F28" s="158">
        <f>IF(ISTEXT(C28),,D28-C28-E28)</f>
        <v>0.33333333333333337</v>
      </c>
      <c r="G28" s="159"/>
      <c r="H28" s="160">
        <f t="shared" si="2"/>
        <v>0</v>
      </c>
      <c r="I28" s="161" t="str" cm="1">
        <f t="array" ref="I28">IF(AND(F28&gt;H28,OR(AND(OR($B28&lt;&gt;Ref!$A$7,$H$56&gt;0),OR($B28&lt;&gt;Ref!$A$8,$H$57&gt;0)),COUNT(SEARCH(Sonderarbeit,$N28))&gt;=1),ISNONTEXT(C28),C28&lt;&gt;""),F28-H28,"")</f>
        <v/>
      </c>
      <c r="J28" s="162" t="str" cm="1">
        <f t="array" ref="J28">IF(OR(AND(F28&lt;H28,OR(AND(OR($B28&lt;&gt;Ref!$A$7,$H$56&gt;0),OR($B28&lt;&gt;Ref!$A$8,$H$57&gt;0)),COUNT(SEARCH(Sonderarbeit,$N28))&gt;=1)),C28="Ausgleich"),H28-F28,"")</f>
        <v/>
      </c>
      <c r="K28" s="166" t="str">
        <f>IF(AND(B28=Ref!$A$8,SUM(I22:I28)&lt;SUM(J22:J28)),"-","")</f>
        <v/>
      </c>
      <c r="L28" s="167" t="str">
        <f>IF(B28=Ref!$A$8,ABS(SUM(I22:I28)-SUM(J22:J28)),"")</f>
        <v/>
      </c>
    </row>
    <row r="29" spans="1:14" ht="17.45" customHeight="1" x14ac:dyDescent="0.35">
      <c r="A29" s="168">
        <v>11</v>
      </c>
      <c r="B29" s="156" t="str">
        <f t="shared" si="1"/>
        <v>Sonntag</v>
      </c>
      <c r="C29" s="157">
        <v>0.35416666666666669</v>
      </c>
      <c r="D29" s="157">
        <v>0.70833333333333337</v>
      </c>
      <c r="E29" s="157">
        <v>2.0833333333333332E-2</v>
      </c>
      <c r="F29" s="158">
        <f>IF(ISTEXT(C29),,D29-C29-E29)</f>
        <v>0.33333333333333337</v>
      </c>
      <c r="G29" s="159"/>
      <c r="H29" s="160">
        <f t="shared" si="2"/>
        <v>0</v>
      </c>
      <c r="I29" s="161" t="str" cm="1">
        <f t="array" ref="I29">IF(AND(F29&gt;H29,OR(AND(OR($B29&lt;&gt;Ref!$A$7,$H$56&gt;0),OR($B29&lt;&gt;Ref!$A$8,$H$57&gt;0)),COUNT(SEARCH(Sonderarbeit,$N29))&gt;=1),ISNONTEXT(C29),C29&lt;&gt;""),F29-H29,"")</f>
        <v/>
      </c>
      <c r="J29" s="162" t="str" cm="1">
        <f t="array" ref="J29">IF(OR(AND(F29&lt;H29,OR(AND(OR($B29&lt;&gt;Ref!$A$7,$H$56&gt;0),OR($B29&lt;&gt;Ref!$A$8,$H$57&gt;0)),COUNT(SEARCH(Sonderarbeit,$N29))&gt;=1)),C29="Ausgleich"),H29-F29,"")</f>
        <v/>
      </c>
      <c r="K29" s="166" t="str">
        <f>IF(AND(B29=Ref!$A$8,SUM(I23:I29)&lt;SUM(J23:J29)),"-","")</f>
        <v/>
      </c>
      <c r="L29" s="167">
        <f>IF(B29=Ref!$A$8,ABS(SUM(I23:I29)-SUM(J23:J29)),"")</f>
        <v>2.083333333333337E-2</v>
      </c>
    </row>
    <row r="30" spans="1:14" ht="17.45" customHeight="1" x14ac:dyDescent="0.35">
      <c r="A30" s="168">
        <v>12</v>
      </c>
      <c r="B30" s="156" t="str">
        <f t="shared" si="1"/>
        <v>Montag</v>
      </c>
      <c r="C30" s="157">
        <v>0.35416666666666669</v>
      </c>
      <c r="D30" s="157">
        <v>0.70833333333333337</v>
      </c>
      <c r="E30" s="157">
        <v>2.0833333333333332E-2</v>
      </c>
      <c r="F30" s="158">
        <f>IF(ISTEXT(C30),,D30-C30-E30)</f>
        <v>0.33333333333333337</v>
      </c>
      <c r="G30" s="159"/>
      <c r="H30" s="160">
        <f t="shared" si="2"/>
        <v>0.33333333333333331</v>
      </c>
      <c r="I30" s="161" t="str" cm="1">
        <f t="array" ref="I30">IF(AND(F30&gt;H30,OR(AND(OR($B30&lt;&gt;Ref!$A$7,$H$56&gt;0),OR($B30&lt;&gt;Ref!$A$8,$H$57&gt;0)),COUNT(SEARCH(Sonderarbeit,$N30))&gt;=1),ISNONTEXT(C30),C30&lt;&gt;""),F30-H30,"")</f>
        <v/>
      </c>
      <c r="J30" s="162" t="str" cm="1">
        <f t="array" ref="J30">IF(OR(AND(F30&lt;H30,OR(AND(OR($B30&lt;&gt;Ref!$A$7,$H$56&gt;0),OR($B30&lt;&gt;Ref!$A$8,$H$57&gt;0)),COUNT(SEARCH(Sonderarbeit,$N30))&gt;=1)),C30="Ausgleich"),H30-F30,"")</f>
        <v/>
      </c>
      <c r="K30" s="166" t="str">
        <f>IF(AND(B30=Ref!$A$8,SUM(I24:I30)&lt;SUM(J24:J30)),"-","")</f>
        <v/>
      </c>
      <c r="L30" s="167" t="str">
        <f>IF(B30=Ref!$A$8,ABS(SUM(I24:I30)-SUM(J24:J30)),"")</f>
        <v/>
      </c>
    </row>
    <row r="31" spans="1:14" ht="17.45" customHeight="1" x14ac:dyDescent="0.35">
      <c r="A31" s="168">
        <v>13</v>
      </c>
      <c r="B31" s="156" t="str">
        <f t="shared" si="1"/>
        <v>Dienstag</v>
      </c>
      <c r="C31" s="157">
        <v>0.35416666666666669</v>
      </c>
      <c r="D31" s="157">
        <v>0.70833333333333337</v>
      </c>
      <c r="E31" s="157">
        <v>2.0833333333333332E-2</v>
      </c>
      <c r="F31" s="158">
        <f>IF(ISTEXT(C31),,D31-C31-E31)</f>
        <v>0.33333333333333337</v>
      </c>
      <c r="G31" s="159"/>
      <c r="H31" s="160">
        <f t="shared" si="2"/>
        <v>0.33333333333333331</v>
      </c>
      <c r="I31" s="161" t="str" cm="1">
        <f t="array" ref="I31">IF(AND(F31&gt;H31,OR(AND(OR($B31&lt;&gt;Ref!$A$7,$H$56&gt;0),OR($B31&lt;&gt;Ref!$A$8,$H$57&gt;0)),COUNT(SEARCH(Sonderarbeit,$N31))&gt;=1),ISNONTEXT(C31),C31&lt;&gt;""),F31-H31,"")</f>
        <v/>
      </c>
      <c r="J31" s="162" t="str" cm="1">
        <f t="array" ref="J31">IF(OR(AND(F31&lt;H31,OR(AND(OR($B31&lt;&gt;Ref!$A$7,$H$56&gt;0),OR($B31&lt;&gt;Ref!$A$8,$H$57&gt;0)),COUNT(SEARCH(Sonderarbeit,$N31))&gt;=1)),C31="Ausgleich"),H31-F31,"")</f>
        <v/>
      </c>
      <c r="K31" s="166" t="str">
        <f>IF(AND(B31=Ref!$A$8,SUM(I25:I31)&lt;SUM(J25:J31)),"-","")</f>
        <v/>
      </c>
      <c r="L31" s="167" t="str">
        <f>IF(B31=Ref!$A$8,ABS(SUM(I25:I31)-SUM(J25:J31)),"")</f>
        <v/>
      </c>
    </row>
    <row r="32" spans="1:14" ht="17.45" customHeight="1" x14ac:dyDescent="0.35">
      <c r="A32" s="168">
        <v>14</v>
      </c>
      <c r="B32" s="156" t="str">
        <f t="shared" si="1"/>
        <v>Mittwoch</v>
      </c>
      <c r="C32" s="157">
        <v>0.35416666666666669</v>
      </c>
      <c r="D32" s="157">
        <v>0.70833333333333337</v>
      </c>
      <c r="E32" s="157">
        <v>2.0833333333333332E-2</v>
      </c>
      <c r="F32" s="158">
        <f>IF(ISTEXT(C32),,D32-C32-E32)</f>
        <v>0.33333333333333337</v>
      </c>
      <c r="G32" s="159"/>
      <c r="H32" s="160">
        <f t="shared" si="2"/>
        <v>0.33333333333333331</v>
      </c>
      <c r="I32" s="161" t="str" cm="1">
        <f t="array" ref="I32">IF(AND(F32&gt;H32,OR(AND(OR($B32&lt;&gt;Ref!$A$7,$H$56&gt;0),OR($B32&lt;&gt;Ref!$A$8,$H$57&gt;0)),COUNT(SEARCH(Sonderarbeit,$N32))&gt;=1),ISNONTEXT(C32),C32&lt;&gt;""),F32-H32,"")</f>
        <v/>
      </c>
      <c r="J32" s="162" t="str" cm="1">
        <f t="array" ref="J32">IF(OR(AND(F32&lt;H32,OR(AND(OR($B32&lt;&gt;Ref!$A$7,$H$56&gt;0),OR($B32&lt;&gt;Ref!$A$8,$H$57&gt;0)),COUNT(SEARCH(Sonderarbeit,$N32))&gt;=1)),C32="Ausgleich"),H32-F32,"")</f>
        <v/>
      </c>
      <c r="K32" s="166" t="str">
        <f>IF(AND(B32=Ref!$A$8,SUM(I26:I32)&lt;SUM(J26:J32)),"-","")</f>
        <v/>
      </c>
      <c r="L32" s="167" t="str">
        <f>IF(B32=Ref!$A$8,ABS(SUM(I26:I32)-SUM(J26:J32)),"")</f>
        <v/>
      </c>
    </row>
    <row r="33" spans="1:14" ht="17.45" customHeight="1" x14ac:dyDescent="0.35">
      <c r="A33" s="155">
        <v>15</v>
      </c>
      <c r="B33" s="156" t="str">
        <f t="shared" si="1"/>
        <v>Donnerstag</v>
      </c>
      <c r="C33" s="157">
        <v>0.35416666666666669</v>
      </c>
      <c r="D33" s="157">
        <v>0.70833333333333337</v>
      </c>
      <c r="E33" s="157">
        <v>2.0833333333333332E-2</v>
      </c>
      <c r="F33" s="158">
        <f>IF(ISTEXT(C33),,D33-C33-E33)</f>
        <v>0.33333333333333337</v>
      </c>
      <c r="G33" s="159"/>
      <c r="H33" s="160">
        <f t="shared" si="2"/>
        <v>0.33333333333333331</v>
      </c>
      <c r="I33" s="161" t="str" cm="1">
        <f t="array" ref="I33">IF(AND(F33&gt;H33,OR(AND(OR($B33&lt;&gt;Ref!$A$7,$H$56&gt;0),OR($B33&lt;&gt;Ref!$A$8,$H$57&gt;0)),COUNT(SEARCH(Sonderarbeit,$N33))&gt;=1),ISNONTEXT(C33),C33&lt;&gt;""),F33-H33,"")</f>
        <v/>
      </c>
      <c r="J33" s="162" t="str" cm="1">
        <f t="array" ref="J33">IF(OR(AND(F33&lt;H33,OR(AND(OR($B33&lt;&gt;Ref!$A$7,$H$56&gt;0),OR($B33&lt;&gt;Ref!$A$8,$H$57&gt;0)),COUNT(SEARCH(Sonderarbeit,$N33))&gt;=1)),C33="Ausgleich"),H33-F33,"")</f>
        <v/>
      </c>
      <c r="K33" s="166" t="str">
        <f>IF(AND(B33=Ref!$A$8,SUM(I27:I33)&lt;SUM(J27:J33)),"-","")</f>
        <v/>
      </c>
      <c r="L33" s="167" t="str">
        <f>IF(B33=Ref!$A$8,ABS(SUM(I27:I33)-SUM(J27:J33)),"")</f>
        <v/>
      </c>
    </row>
    <row r="34" spans="1:14" ht="17.45" customHeight="1" x14ac:dyDescent="0.35">
      <c r="A34" s="155">
        <v>16</v>
      </c>
      <c r="B34" s="156" t="str">
        <f t="shared" si="1"/>
        <v>Freitag</v>
      </c>
      <c r="C34" s="157">
        <v>0.35416666666666669</v>
      </c>
      <c r="D34" s="157">
        <v>0.70833333333333337</v>
      </c>
      <c r="E34" s="157">
        <v>2.0833333333333332E-2</v>
      </c>
      <c r="F34" s="158">
        <f>IF(ISTEXT(C34),,D34-C34-E34)</f>
        <v>0.33333333333333337</v>
      </c>
      <c r="G34" s="159"/>
      <c r="H34" s="160">
        <f t="shared" si="2"/>
        <v>0.3125</v>
      </c>
      <c r="I34" s="161" cm="1">
        <f t="array" ref="I34">IF(AND(F34&gt;H34,OR(AND(OR($B34&lt;&gt;Ref!$A$7,$H$56&gt;0),OR($B34&lt;&gt;Ref!$A$8,$H$57&gt;0)),COUNT(SEARCH(Sonderarbeit,$N34))&gt;=1),ISNONTEXT(C34),C34&lt;&gt;""),F34-H34,"")</f>
        <v>2.083333333333337E-2</v>
      </c>
      <c r="J34" s="162" t="str" cm="1">
        <f t="array" ref="J34">IF(OR(AND(F34&lt;H34,OR(AND(OR($B34&lt;&gt;Ref!$A$7,$H$56&gt;0),OR($B34&lt;&gt;Ref!$A$8,$H$57&gt;0)),COUNT(SEARCH(Sonderarbeit,$N34))&gt;=1)),C34="Ausgleich"),H34-F34,"")</f>
        <v/>
      </c>
      <c r="K34" s="166" t="str">
        <f>IF(AND(B34=Ref!$A$8,SUM(I28:I34)&lt;SUM(J28:J34)),"-","")</f>
        <v/>
      </c>
      <c r="L34" s="167" t="str">
        <f>IF(B34=Ref!$A$8,ABS(SUM(I28:I34)-SUM(J28:J34)),"")</f>
        <v/>
      </c>
    </row>
    <row r="35" spans="1:14" ht="17.45" customHeight="1" x14ac:dyDescent="0.35">
      <c r="A35" s="155">
        <v>17</v>
      </c>
      <c r="B35" s="156" t="str">
        <f t="shared" si="1"/>
        <v>Samstag</v>
      </c>
      <c r="C35" s="157">
        <v>0.35416666666666669</v>
      </c>
      <c r="D35" s="157">
        <v>0.70833333333333337</v>
      </c>
      <c r="E35" s="157">
        <v>2.0833333333333332E-2</v>
      </c>
      <c r="F35" s="158">
        <f>IF(ISTEXT(C35),,D35-C35-E35)</f>
        <v>0.33333333333333337</v>
      </c>
      <c r="G35" s="159"/>
      <c r="H35" s="160">
        <f t="shared" si="2"/>
        <v>0</v>
      </c>
      <c r="I35" s="161" t="str" cm="1">
        <f t="array" ref="I35">IF(AND(F35&gt;H35,OR(AND(OR($B35&lt;&gt;Ref!$A$7,$H$56&gt;0),OR($B35&lt;&gt;Ref!$A$8,$H$57&gt;0)),COUNT(SEARCH(Sonderarbeit,$N35))&gt;=1),ISNONTEXT(C35),C35&lt;&gt;""),F35-H35,"")</f>
        <v/>
      </c>
      <c r="J35" s="162" t="str" cm="1">
        <f t="array" ref="J35">IF(OR(AND(F35&lt;H35,OR(AND(OR($B35&lt;&gt;Ref!$A$7,$H$56&gt;0),OR($B35&lt;&gt;Ref!$A$8,$H$57&gt;0)),COUNT(SEARCH(Sonderarbeit,$N35))&gt;=1)),C35="Ausgleich"),H35-F35,"")</f>
        <v/>
      </c>
      <c r="K35" s="166" t="str">
        <f>IF(AND(B35=Ref!$A$8,SUM(I29:I35)&lt;SUM(J29:J35)),"-","")</f>
        <v/>
      </c>
      <c r="L35" s="167" t="str">
        <f>IF(B35=Ref!$A$8,ABS(SUM(I29:I35)-SUM(J29:J35)),"")</f>
        <v/>
      </c>
    </row>
    <row r="36" spans="1:14" ht="17.45" customHeight="1" x14ac:dyDescent="0.35">
      <c r="A36" s="155">
        <v>18</v>
      </c>
      <c r="B36" s="156" t="str">
        <f t="shared" si="1"/>
        <v>Sonntag</v>
      </c>
      <c r="C36" s="157">
        <v>0.35416666666666669</v>
      </c>
      <c r="D36" s="157">
        <v>0.70833333333333337</v>
      </c>
      <c r="E36" s="157">
        <v>2.0833333333333332E-2</v>
      </c>
      <c r="F36" s="158">
        <f>IF(ISTEXT(C36),,D36-C36-E36)</f>
        <v>0.33333333333333337</v>
      </c>
      <c r="G36" s="159"/>
      <c r="H36" s="160">
        <f t="shared" si="2"/>
        <v>0</v>
      </c>
      <c r="I36" s="161" t="str" cm="1">
        <f t="array" ref="I36">IF(AND(F36&gt;H36,OR(AND(OR($B36&lt;&gt;Ref!$A$7,$H$56&gt;0),OR($B36&lt;&gt;Ref!$A$8,$H$57&gt;0)),COUNT(SEARCH(Sonderarbeit,$N36))&gt;=1),ISNONTEXT(C36),C36&lt;&gt;""),F36-H36,"")</f>
        <v/>
      </c>
      <c r="J36" s="162" t="str" cm="1">
        <f t="array" ref="J36">IF(OR(AND(F36&lt;H36,OR(AND(OR($B36&lt;&gt;Ref!$A$7,$H$56&gt;0),OR($B36&lt;&gt;Ref!$A$8,$H$57&gt;0)),COUNT(SEARCH(Sonderarbeit,$N36))&gt;=1)),C36="Ausgleich"),H36-F36,"")</f>
        <v/>
      </c>
      <c r="K36" s="166" t="str">
        <f>IF(AND(B36=Ref!$A$8,SUM(I30:I36)&lt;SUM(J30:J36)),"-","")</f>
        <v/>
      </c>
      <c r="L36" s="167">
        <f>IF(B36=Ref!$A$8,ABS(SUM(I30:I36)-SUM(J30:J36)),"")</f>
        <v>2.083333333333337E-2</v>
      </c>
    </row>
    <row r="37" spans="1:14" ht="17.45" customHeight="1" x14ac:dyDescent="0.35">
      <c r="A37" s="155">
        <v>19</v>
      </c>
      <c r="B37" s="156" t="str">
        <f t="shared" si="1"/>
        <v>Montag</v>
      </c>
      <c r="C37" s="157">
        <v>0.35416666666666669</v>
      </c>
      <c r="D37" s="157">
        <v>0.70833333333333337</v>
      </c>
      <c r="E37" s="157">
        <v>2.0833333333333332E-2</v>
      </c>
      <c r="F37" s="158">
        <f>IF(ISTEXT(C37),,D37-C37-E37)</f>
        <v>0.33333333333333337</v>
      </c>
      <c r="G37" s="159"/>
      <c r="H37" s="160">
        <f t="shared" si="2"/>
        <v>0.33333333333333331</v>
      </c>
      <c r="I37" s="161" t="str" cm="1">
        <f t="array" ref="I37">IF(AND(F37&gt;H37,OR(AND(OR($B37&lt;&gt;Ref!$A$7,$H$56&gt;0),OR($B37&lt;&gt;Ref!$A$8,$H$57&gt;0)),COUNT(SEARCH(Sonderarbeit,$N37))&gt;=1),ISNONTEXT(C37),C37&lt;&gt;""),F37-H37,"")</f>
        <v/>
      </c>
      <c r="J37" s="162" t="str" cm="1">
        <f t="array" ref="J37">IF(OR(AND(F37&lt;H37,OR(AND(OR($B37&lt;&gt;Ref!$A$7,$H$56&gt;0),OR($B37&lt;&gt;Ref!$A$8,$H$57&gt;0)),COUNT(SEARCH(Sonderarbeit,$N37))&gt;=1)),C37="Ausgleich"),H37-F37,"")</f>
        <v/>
      </c>
      <c r="K37" s="166" t="str">
        <f>IF(AND(B37=Ref!$A$8,SUM(I31:I37)&lt;SUM(J31:J37)),"-","")</f>
        <v/>
      </c>
      <c r="L37" s="167" t="str">
        <f>IF(B37=Ref!$A$8,ABS(SUM(I31:I37)-SUM(J31:J37)),"")</f>
        <v/>
      </c>
    </row>
    <row r="38" spans="1:14" ht="17.45" customHeight="1" x14ac:dyDescent="0.35">
      <c r="A38" s="155">
        <v>20</v>
      </c>
      <c r="B38" s="156" t="str">
        <f t="shared" si="1"/>
        <v>Dienstag</v>
      </c>
      <c r="C38" s="157">
        <v>0.35416666666666669</v>
      </c>
      <c r="D38" s="157">
        <v>0.70833333333333337</v>
      </c>
      <c r="E38" s="157">
        <v>2.0833333333333332E-2</v>
      </c>
      <c r="F38" s="158">
        <f>IF(ISTEXT(C38),,D38-C38-E38)</f>
        <v>0.33333333333333337</v>
      </c>
      <c r="G38" s="159"/>
      <c r="H38" s="160">
        <f t="shared" si="2"/>
        <v>0.33333333333333331</v>
      </c>
      <c r="I38" s="161" t="str" cm="1">
        <f t="array" ref="I38">IF(AND(F38&gt;H38,OR(AND(OR($B38&lt;&gt;Ref!$A$7,$H$56&gt;0),OR($B38&lt;&gt;Ref!$A$8,$H$57&gt;0)),COUNT(SEARCH(Sonderarbeit,$N38))&gt;=1),ISNONTEXT(C38),C38&lt;&gt;""),F38-H38,"")</f>
        <v/>
      </c>
      <c r="J38" s="162" t="str" cm="1">
        <f t="array" ref="J38">IF(OR(AND(F38&lt;H38,OR(AND(OR($B38&lt;&gt;Ref!$A$7,$H$56&gt;0),OR($B38&lt;&gt;Ref!$A$8,$H$57&gt;0)),COUNT(SEARCH(Sonderarbeit,$N38))&gt;=1)),C38="Ausgleich"),H38-F38,"")</f>
        <v/>
      </c>
      <c r="K38" s="166" t="str">
        <f>IF(AND(B38=Ref!$A$8,SUM(I32:I38)&lt;SUM(J32:J38)),"-","")</f>
        <v/>
      </c>
      <c r="L38" s="167" t="str">
        <f>IF(B38=Ref!$A$8,ABS(SUM(I32:I38)-SUM(J32:J38)),"")</f>
        <v/>
      </c>
    </row>
    <row r="39" spans="1:14" ht="17.45" customHeight="1" x14ac:dyDescent="0.35">
      <c r="A39" s="155">
        <v>21</v>
      </c>
      <c r="B39" s="156" t="str">
        <f t="shared" si="1"/>
        <v>Mittwoch</v>
      </c>
      <c r="C39" s="157">
        <v>0.35416666666666669</v>
      </c>
      <c r="D39" s="157">
        <v>0.70833333333333337</v>
      </c>
      <c r="E39" s="157">
        <v>2.0833333333333332E-2</v>
      </c>
      <c r="F39" s="158">
        <f>IF(ISTEXT(C39),,D39-C39-E39)</f>
        <v>0.33333333333333337</v>
      </c>
      <c r="G39" s="159"/>
      <c r="H39" s="160">
        <f t="shared" si="2"/>
        <v>0.33333333333333331</v>
      </c>
      <c r="I39" s="161" t="str" cm="1">
        <f t="array" ref="I39">IF(AND(F39&gt;H39,OR(AND(OR($B39&lt;&gt;Ref!$A$7,$H$56&gt;0),OR($B39&lt;&gt;Ref!$A$8,$H$57&gt;0)),COUNT(SEARCH(Sonderarbeit,$N39))&gt;=1),ISNONTEXT(C39),C39&lt;&gt;""),F39-H39,"")</f>
        <v/>
      </c>
      <c r="J39" s="162" t="str" cm="1">
        <f t="array" ref="J39">IF(OR(AND(F39&lt;H39,OR(AND(OR($B39&lt;&gt;Ref!$A$7,$H$56&gt;0),OR($B39&lt;&gt;Ref!$A$8,$H$57&gt;0)),COUNT(SEARCH(Sonderarbeit,$N39))&gt;=1)),C39="Ausgleich"),H39-F39,"")</f>
        <v/>
      </c>
      <c r="K39" s="166" t="str">
        <f>IF(AND(B39=Ref!$A$8,SUM(I33:I39)&lt;SUM(J33:J39)),"-","")</f>
        <v/>
      </c>
      <c r="L39" s="167" t="str">
        <f>IF(B39=Ref!$A$8,ABS(SUM(I33:I39)-SUM(J33:J39)),"")</f>
        <v/>
      </c>
    </row>
    <row r="40" spans="1:14" ht="17.45" customHeight="1" x14ac:dyDescent="0.35">
      <c r="A40" s="155">
        <v>22</v>
      </c>
      <c r="B40" s="156" t="str">
        <f t="shared" si="1"/>
        <v>Donnerstag</v>
      </c>
      <c r="C40" s="157">
        <v>0.35416666666666669</v>
      </c>
      <c r="D40" s="157">
        <v>0.70833333333333337</v>
      </c>
      <c r="E40" s="157">
        <v>2.0833333333333332E-2</v>
      </c>
      <c r="F40" s="158">
        <f>IF(ISTEXT(C40),,D40-C40-E40)</f>
        <v>0.33333333333333337</v>
      </c>
      <c r="G40" s="159"/>
      <c r="H40" s="160">
        <f t="shared" si="2"/>
        <v>0.33333333333333331</v>
      </c>
      <c r="I40" s="161" t="str" cm="1">
        <f t="array" ref="I40">IF(AND(F40&gt;H40,OR(AND(OR($B40&lt;&gt;Ref!$A$7,$H$56&gt;0),OR($B40&lt;&gt;Ref!$A$8,$H$57&gt;0)),COUNT(SEARCH(Sonderarbeit,$N40))&gt;=1),ISNONTEXT(C40),C40&lt;&gt;""),F40-H40,"")</f>
        <v/>
      </c>
      <c r="J40" s="162" t="str" cm="1">
        <f t="array" ref="J40">IF(OR(AND(F40&lt;H40,OR(AND(OR($B40&lt;&gt;Ref!$A$7,$H$56&gt;0),OR($B40&lt;&gt;Ref!$A$8,$H$57&gt;0)),COUNT(SEARCH(Sonderarbeit,$N40))&gt;=1)),C40="Ausgleich"),H40-F40,"")</f>
        <v/>
      </c>
      <c r="K40" s="166" t="str">
        <f>IF(AND(B40=Ref!$A$8,SUM(I34:I40)&lt;SUM(J34:J40)),"-","")</f>
        <v/>
      </c>
      <c r="L40" s="167" t="str">
        <f>IF(B40=Ref!$A$8,ABS(SUM(I34:I40)-SUM(J34:J40)),"")</f>
        <v/>
      </c>
    </row>
    <row r="41" spans="1:14" ht="17.45" customHeight="1" x14ac:dyDescent="0.35">
      <c r="A41" s="155">
        <v>23</v>
      </c>
      <c r="B41" s="156" t="str">
        <f t="shared" si="1"/>
        <v>Freitag</v>
      </c>
      <c r="C41" s="157">
        <v>0.35416666666666669</v>
      </c>
      <c r="D41" s="157">
        <v>0.70833333333333337</v>
      </c>
      <c r="E41" s="157">
        <v>2.0833333333333332E-2</v>
      </c>
      <c r="F41" s="158">
        <f>IF(ISTEXT(C41),,D41-C41-E41)</f>
        <v>0.33333333333333337</v>
      </c>
      <c r="G41" s="159"/>
      <c r="H41" s="160">
        <f t="shared" si="2"/>
        <v>0.3125</v>
      </c>
      <c r="I41" s="161" cm="1">
        <f t="array" ref="I41">IF(AND(F41&gt;H41,OR(AND(OR($B41&lt;&gt;Ref!$A$7,$H$56&gt;0),OR($B41&lt;&gt;Ref!$A$8,$H$57&gt;0)),COUNT(SEARCH(Sonderarbeit,$N41))&gt;=1),ISNONTEXT(C41),C41&lt;&gt;""),F41-H41,"")</f>
        <v>2.083333333333337E-2</v>
      </c>
      <c r="J41" s="162" t="str" cm="1">
        <f t="array" ref="J41">IF(OR(AND(F41&lt;H41,OR(AND(OR($B41&lt;&gt;Ref!$A$7,$H$56&gt;0),OR($B41&lt;&gt;Ref!$A$8,$H$57&gt;0)),COUNT(SEARCH(Sonderarbeit,$N41))&gt;=1)),C41="Ausgleich"),H41-F41,"")</f>
        <v/>
      </c>
      <c r="K41" s="166" t="str">
        <f>IF(AND(B41=Ref!$A$8,SUM(I35:I41)&lt;SUM(J35:J41)),"-","")</f>
        <v/>
      </c>
      <c r="L41" s="167" t="str">
        <f>IF(B41=Ref!$A$8,ABS(SUM(I35:I41)-SUM(J35:J41)),"")</f>
        <v/>
      </c>
      <c r="N41" s="100" t="str">
        <f>IF(Mantelbogen!$C$8="Geschäftsstelle", "2026 Ausw. Sitzung S", "")</f>
        <v>2026 Ausw. Sitzung S</v>
      </c>
    </row>
    <row r="42" spans="1:14" ht="17.45" customHeight="1" x14ac:dyDescent="0.35">
      <c r="A42" s="155">
        <v>24</v>
      </c>
      <c r="B42" s="156" t="str">
        <f t="shared" si="1"/>
        <v>Samstag</v>
      </c>
      <c r="C42" s="157">
        <v>0.35416666666666669</v>
      </c>
      <c r="D42" s="157">
        <v>0.70833333333333337</v>
      </c>
      <c r="E42" s="157">
        <v>2.0833333333333332E-2</v>
      </c>
      <c r="F42" s="158">
        <f>IF(ISTEXT(C42),,D42-C42-E42)</f>
        <v>0.33333333333333337</v>
      </c>
      <c r="G42" s="159"/>
      <c r="H42" s="160">
        <f t="shared" si="2"/>
        <v>0</v>
      </c>
      <c r="I42" s="161" cm="1">
        <f t="array" ref="I42">IF(AND(F42&gt;H42,OR(AND(OR($B42&lt;&gt;Ref!$A$7,$H$56&gt;0),OR($B42&lt;&gt;Ref!$A$8,$H$57&gt;0)),COUNT(SEARCH(Sonderarbeit,$N42))&gt;=1),ISNONTEXT(C42),C42&lt;&gt;""),F42-H42,"")</f>
        <v>0.33333333333333337</v>
      </c>
      <c r="J42" s="162" t="str" cm="1">
        <f t="array" ref="J42">IF(OR(AND(F42&lt;H42,OR(AND(OR($B42&lt;&gt;Ref!$A$7,$H$56&gt;0),OR($B42&lt;&gt;Ref!$A$8,$H$57&gt;0)),COUNT(SEARCH(Sonderarbeit,$N42))&gt;=1)),C42="Ausgleich"),H42-F42,"")</f>
        <v/>
      </c>
      <c r="K42" s="166" t="str">
        <f>IF(AND(B42=Ref!$A$8,SUM(I36:I42)&lt;SUM(J36:J42)),"-","")</f>
        <v/>
      </c>
      <c r="L42" s="167" t="str">
        <f>IF(B42=Ref!$A$8,ABS(SUM(I36:I42)-SUM(J36:J42)),"")</f>
        <v/>
      </c>
      <c r="N42" s="100" t="str">
        <f>IF(Mantelbogen!$C$8="Geschäftsstelle", "2026 Ausw. Sitzung S", "")</f>
        <v>2026 Ausw. Sitzung S</v>
      </c>
    </row>
    <row r="43" spans="1:14" ht="17.45" customHeight="1" x14ac:dyDescent="0.35">
      <c r="A43" s="155">
        <v>25</v>
      </c>
      <c r="B43" s="156" t="str">
        <f t="shared" si="1"/>
        <v>Sonntag</v>
      </c>
      <c r="C43" s="157">
        <v>0.35416666666666669</v>
      </c>
      <c r="D43" s="157">
        <v>0.70833333333333337</v>
      </c>
      <c r="E43" s="157">
        <v>2.0833333333333332E-2</v>
      </c>
      <c r="F43" s="158">
        <f>IF(ISTEXT(C43),,D43-C43-E43)</f>
        <v>0.33333333333333337</v>
      </c>
      <c r="G43" s="159"/>
      <c r="H43" s="160">
        <f t="shared" si="2"/>
        <v>0</v>
      </c>
      <c r="I43" s="161" t="str" cm="1">
        <f t="array" ref="I43">IF(AND(F43&gt;H43,OR(AND(OR($B43&lt;&gt;Ref!$A$7,$H$56&gt;0),OR($B43&lt;&gt;Ref!$A$8,$H$57&gt;0)),COUNT(SEARCH(Sonderarbeit,$N43))&gt;=1),ISNONTEXT(C43),C43&lt;&gt;""),F43-H43,"")</f>
        <v/>
      </c>
      <c r="J43" s="162" t="str" cm="1">
        <f t="array" ref="J43">IF(OR(AND(F43&lt;H43,OR(AND(OR($B43&lt;&gt;Ref!$A$7,$H$56&gt;0),OR($B43&lt;&gt;Ref!$A$8,$H$57&gt;0)),COUNT(SEARCH(Sonderarbeit,$N43))&gt;=1)),C43="Ausgleich"),H43-F43,"")</f>
        <v/>
      </c>
      <c r="K43" s="166" t="str">
        <f>IF(AND(B43=Ref!$A$8,SUM(I37:I43)&lt;SUM(J37:J43)),"-","")</f>
        <v/>
      </c>
      <c r="L43" s="167">
        <f>IF(B43=Ref!$A$8,ABS(SUM(I37:I43)-SUM(J37:J43)),"")</f>
        <v>0.35416666666666674</v>
      </c>
    </row>
    <row r="44" spans="1:14" ht="17.45" customHeight="1" x14ac:dyDescent="0.35">
      <c r="A44" s="155">
        <v>26</v>
      </c>
      <c r="B44" s="156" t="str">
        <f t="shared" si="1"/>
        <v>Montag</v>
      </c>
      <c r="C44" s="157">
        <v>0.35416666666666669</v>
      </c>
      <c r="D44" s="157">
        <v>0.70833333333333337</v>
      </c>
      <c r="E44" s="157">
        <v>2.0833333333333332E-2</v>
      </c>
      <c r="F44" s="158">
        <f>IF(ISTEXT(C44),,D44-C44-E44)</f>
        <v>0.33333333333333337</v>
      </c>
      <c r="G44" s="159"/>
      <c r="H44" s="160">
        <f t="shared" si="2"/>
        <v>0.33333333333333331</v>
      </c>
      <c r="I44" s="161" t="str" cm="1">
        <f t="array" ref="I44">IF(AND(F44&gt;H44,OR(AND(OR($B44&lt;&gt;Ref!$A$7,$H$56&gt;0),OR($B44&lt;&gt;Ref!$A$8,$H$57&gt;0)),COUNT(SEARCH(Sonderarbeit,$N44))&gt;=1),ISNONTEXT(C44),C44&lt;&gt;""),F44-H44,"")</f>
        <v/>
      </c>
      <c r="J44" s="162" t="str" cm="1">
        <f t="array" ref="J44">IF(OR(AND(F44&lt;H44,OR(AND(OR($B44&lt;&gt;Ref!$A$7,$H$56&gt;0),OR($B44&lt;&gt;Ref!$A$8,$H$57&gt;0)),COUNT(SEARCH(Sonderarbeit,$N44))&gt;=1)),C44="Ausgleich"),H44-F44,"")</f>
        <v/>
      </c>
      <c r="K44" s="166" t="str">
        <f>IF(AND(B44=Ref!$A$8,SUM(I38:I44)&lt;SUM(J38:J44)),"-","")</f>
        <v/>
      </c>
      <c r="L44" s="167" t="str">
        <f>IF(B44=Ref!$A$8,ABS(SUM(I38:I44)-SUM(J38:J44)),"")</f>
        <v/>
      </c>
      <c r="N44" s="100" t="s">
        <v>122</v>
      </c>
    </row>
    <row r="45" spans="1:14" ht="17.45" customHeight="1" x14ac:dyDescent="0.35">
      <c r="A45" s="155">
        <v>27</v>
      </c>
      <c r="B45" s="156" t="str">
        <f t="shared" si="1"/>
        <v>Dienstag</v>
      </c>
      <c r="C45" s="157">
        <v>0.35416666666666669</v>
      </c>
      <c r="D45" s="157">
        <v>0.70833333333333337</v>
      </c>
      <c r="E45" s="157">
        <v>2.0833333333333332E-2</v>
      </c>
      <c r="F45" s="158">
        <f>IF(ISTEXT(C45),,D45-C45-E45)</f>
        <v>0.33333333333333337</v>
      </c>
      <c r="G45" s="159"/>
      <c r="H45" s="160">
        <f t="shared" si="2"/>
        <v>0.33333333333333331</v>
      </c>
      <c r="I45" s="161" t="str" cm="1">
        <f t="array" ref="I45">IF(AND(F45&gt;H45,OR(AND(OR($B45&lt;&gt;Ref!$A$7,$H$56&gt;0),OR($B45&lt;&gt;Ref!$A$8,$H$57&gt;0)),COUNT(SEARCH(Sonderarbeit,$N45))&gt;=1),ISNONTEXT(C45),C45&lt;&gt;""),F45-H45,"")</f>
        <v/>
      </c>
      <c r="J45" s="162" t="str" cm="1">
        <f t="array" ref="J45">IF(OR(AND(F45&lt;H45,OR(AND(OR($B45&lt;&gt;Ref!$A$7,$H$56&gt;0),OR($B45&lt;&gt;Ref!$A$8,$H$57&gt;0)),COUNT(SEARCH(Sonderarbeit,$N45))&gt;=1)),C45="Ausgleich"),H45-F45,"")</f>
        <v/>
      </c>
      <c r="K45" s="166" t="str">
        <f>IF(AND(B45=Ref!$A$8,SUM(I39:I45)&lt;SUM(J39:J45)),"-","")</f>
        <v/>
      </c>
      <c r="L45" s="167" t="str">
        <f>IF(B45=Ref!$A$8,ABS(SUM(I39:I45)-SUM(J39:J45)),"")</f>
        <v/>
      </c>
    </row>
    <row r="46" spans="1:14" ht="17.45" customHeight="1" x14ac:dyDescent="0.35">
      <c r="A46" s="155">
        <v>28</v>
      </c>
      <c r="B46" s="156" t="str">
        <f t="shared" si="1"/>
        <v>Mittwoch</v>
      </c>
      <c r="C46" s="157">
        <v>0.35416666666666669</v>
      </c>
      <c r="D46" s="157">
        <v>0.70833333333333337</v>
      </c>
      <c r="E46" s="157">
        <v>2.0833333333333332E-2</v>
      </c>
      <c r="F46" s="158">
        <f>IF(ISTEXT(C46),,D46-C46-E46)</f>
        <v>0.33333333333333337</v>
      </c>
      <c r="G46" s="159"/>
      <c r="H46" s="160">
        <f t="shared" si="2"/>
        <v>0.33333333333333331</v>
      </c>
      <c r="I46" s="161" t="str" cm="1">
        <f t="array" ref="I46">IF(AND(F46&gt;H46,OR(AND(OR($B46&lt;&gt;Ref!$A$7,$H$56&gt;0),OR($B46&lt;&gt;Ref!$A$8,$H$57&gt;0)),COUNT(SEARCH(Sonderarbeit,$N46))&gt;=1),ISNONTEXT(C46),C46&lt;&gt;""),F46-H46,"")</f>
        <v/>
      </c>
      <c r="J46" s="162" t="str" cm="1">
        <f t="array" ref="J46">IF(OR(AND(F46&lt;H46,OR(AND(OR($B46&lt;&gt;Ref!$A$7,$H$56&gt;0),OR($B46&lt;&gt;Ref!$A$8,$H$57&gt;0)),COUNT(SEARCH(Sonderarbeit,$N46))&gt;=1)),C46="Ausgleich"),H46-F46,"")</f>
        <v/>
      </c>
      <c r="K46" s="166" t="str">
        <f>IF(AND(B46=Ref!$A$8,SUM(I40:I46)&lt;SUM(J40:J46)),"-","")</f>
        <v/>
      </c>
      <c r="L46" s="167" t="str">
        <f>IF(B46=Ref!$A$8,ABS(SUM(I40:I46)-SUM(J40:J46)),"")</f>
        <v/>
      </c>
    </row>
    <row r="47" spans="1:14" ht="17.45" customHeight="1" x14ac:dyDescent="0.35">
      <c r="A47" s="155">
        <v>29</v>
      </c>
      <c r="B47" s="156" t="str">
        <f t="shared" si="1"/>
        <v>Donnerstag</v>
      </c>
      <c r="C47" s="157">
        <v>0.35416666666666669</v>
      </c>
      <c r="D47" s="157">
        <v>0.70833333333333337</v>
      </c>
      <c r="E47" s="157">
        <v>2.0833333333333332E-2</v>
      </c>
      <c r="F47" s="158">
        <f>IF(ISTEXT(C47),,D47-C47-E47)</f>
        <v>0.33333333333333337</v>
      </c>
      <c r="G47" s="159"/>
      <c r="H47" s="160">
        <f t="shared" si="2"/>
        <v>0.33333333333333331</v>
      </c>
      <c r="I47" s="161" t="str" cm="1">
        <f t="array" ref="I47">IF(AND(F47&gt;H47,OR(AND(OR($B47&lt;&gt;Ref!$A$7,$H$56&gt;0),OR($B47&lt;&gt;Ref!$A$8,$H$57&gt;0)),COUNT(SEARCH(Sonderarbeit,$N47))&gt;=1),ISNONTEXT(C47),C47&lt;&gt;""),F47-H47,"")</f>
        <v/>
      </c>
      <c r="J47" s="162" t="str" cm="1">
        <f t="array" ref="J47">IF(OR(AND(F47&lt;H47,OR(AND(OR($B47&lt;&gt;Ref!$A$7,$H$56&gt;0),OR($B47&lt;&gt;Ref!$A$8,$H$57&gt;0)),COUNT(SEARCH(Sonderarbeit,$N47))&gt;=1)),C47="Ausgleich"),H47-F47,"")</f>
        <v/>
      </c>
      <c r="K47" s="166" t="str">
        <f>IF(AND(B47=Ref!$A$8,SUM(I41:I47)&lt;SUM(J41:J47)),"-","")</f>
        <v/>
      </c>
      <c r="L47" s="167" t="str">
        <f>IF(B47=Ref!$A$8,ABS(SUM(I41:I47)-SUM(J41:J47)),"")</f>
        <v/>
      </c>
    </row>
    <row r="48" spans="1:14" ht="17.45" customHeight="1" x14ac:dyDescent="0.35">
      <c r="A48" s="155">
        <v>30</v>
      </c>
      <c r="B48" s="156" t="str">
        <f t="shared" si="1"/>
        <v>Freitag</v>
      </c>
      <c r="C48" s="157">
        <v>0.35416666666666669</v>
      </c>
      <c r="D48" s="157">
        <v>0.70833333333333337</v>
      </c>
      <c r="E48" s="157">
        <v>2.0833333333333332E-2</v>
      </c>
      <c r="F48" s="158">
        <f>IF(ISTEXT(C48),,D48-C48-E48)</f>
        <v>0.33333333333333337</v>
      </c>
      <c r="G48" s="159"/>
      <c r="H48" s="160">
        <f t="shared" si="2"/>
        <v>0.3125</v>
      </c>
      <c r="I48" s="161" cm="1">
        <f t="array" ref="I48">IF(AND(F48&gt;H48,OR(AND(OR($B48&lt;&gt;Ref!$A$7,$H$56&gt;0),OR($B48&lt;&gt;Ref!$A$8,$H$57&gt;0)),COUNT(SEARCH(Sonderarbeit,$N48))&gt;=1),ISNONTEXT(C48),C48&lt;&gt;""),F48-H48,"")</f>
        <v>2.083333333333337E-2</v>
      </c>
      <c r="J48" s="162" t="str" cm="1">
        <f t="array" ref="J48">IF(OR(AND(F48&lt;H48,OR(AND(OR($B48&lt;&gt;Ref!$A$7,$H$56&gt;0),OR($B48&lt;&gt;Ref!$A$8,$H$57&gt;0)),COUNT(SEARCH(Sonderarbeit,$N48))&gt;=1)),C48="Ausgleich"),H48-F48,"")</f>
        <v/>
      </c>
      <c r="K48" s="166" t="str">
        <f>IF(AND(B48=Ref!$A$8,SUM(I42:I48)&lt;SUM(J42:J48)),"-","")</f>
        <v/>
      </c>
      <c r="L48" s="167" t="str">
        <f>IF(B48=Ref!$A$8,ABS(SUM(I42:I48)-SUM(J42:J48)),"")</f>
        <v/>
      </c>
      <c r="N48" s="100" t="s">
        <v>124</v>
      </c>
    </row>
    <row r="49" spans="1:14" ht="17.45" customHeight="1" x14ac:dyDescent="0.35">
      <c r="A49" s="155">
        <v>31</v>
      </c>
      <c r="B49" s="156" t="str">
        <f t="shared" si="1"/>
        <v>Samstag</v>
      </c>
      <c r="C49" s="157">
        <v>0.35416666666666669</v>
      </c>
      <c r="D49" s="157">
        <v>0.70833333333333337</v>
      </c>
      <c r="E49" s="157">
        <v>2.0833333333333332E-2</v>
      </c>
      <c r="F49" s="170">
        <f>IF(ISTEXT(C49),,D49-C49-E49)</f>
        <v>0.33333333333333337</v>
      </c>
      <c r="G49" s="171"/>
      <c r="H49" s="160">
        <f t="shared" si="2"/>
        <v>0</v>
      </c>
      <c r="I49" s="161" t="str" cm="1">
        <f t="array" ref="I49">IF(AND(F49&gt;H49,OR(AND(OR($B49&lt;&gt;Ref!$A$7,$H$56&gt;0),OR($B49&lt;&gt;Ref!$A$8,$H$57&gt;0)),COUNT(SEARCH(Sonderarbeit,$N49))&gt;=1),ISNONTEXT(C49),C49&lt;&gt;""),F49-H49,"")</f>
        <v/>
      </c>
      <c r="J49" s="162" t="str" cm="1">
        <f t="array" ref="J49">IF(OR(AND(F49&lt;H49,OR(AND(OR($B49&lt;&gt;Ref!$A$7,$H$56&gt;0),OR($B49&lt;&gt;Ref!$A$8,$H$57&gt;0)),COUNT(SEARCH(Sonderarbeit,$N49))&gt;=1)),C49="Ausgleich"),H49-F49,"")</f>
        <v/>
      </c>
      <c r="K49" s="172" t="str">
        <f ca="1">IF(SUM(INDIRECT("I"&amp;ROW()-WEEKDAY(DATE(J$11,MONTH(I$11),A49),3)):I49) &lt; SUM(INDIRECT("j"&amp;ROW()-WEEKDAY(DATE(J$11,MONTH(I$11),A49),3)):J49),"-","")</f>
        <v/>
      </c>
      <c r="L49" s="173">
        <f ca="1">ABS(SUM(INDIRECT("I"&amp;ROW()-WEEKDAY(DATE(J$11,MONTH(I$11),A49),3)):I49)-SUM(INDIRECT("j"&amp;ROW()-WEEKDAY(DATE(J$11,MONTH(I$11),A49))):J49))</f>
        <v>2.083333333333337E-2</v>
      </c>
      <c r="N49" s="174"/>
    </row>
    <row r="50" spans="1:14" s="183" customFormat="1" ht="17.45" customHeight="1" thickBot="1" x14ac:dyDescent="0.4">
      <c r="A50" s="175" t="str">
        <f>Jan!A50</f>
        <v>Sonstige Zeiten laut beigefügter Aufstellung (s. Anlage):</v>
      </c>
      <c r="B50" s="176"/>
      <c r="C50" s="177"/>
      <c r="D50" s="178"/>
      <c r="E50" s="178"/>
      <c r="F50" s="178"/>
      <c r="G50" s="178"/>
      <c r="H50" s="179"/>
      <c r="I50" s="180">
        <v>0</v>
      </c>
      <c r="J50" s="180">
        <v>0</v>
      </c>
      <c r="K50" s="181"/>
      <c r="L50" s="182"/>
      <c r="M50" s="99"/>
      <c r="N50" s="100"/>
    </row>
    <row r="51" spans="1:14" x14ac:dyDescent="0.2">
      <c r="A51" s="184" t="s">
        <v>3</v>
      </c>
      <c r="B51" s="184"/>
      <c r="C51" s="184"/>
      <c r="D51" s="184"/>
      <c r="H51" s="280">
        <f>Sep!H50</f>
        <v>0.33333333333333331</v>
      </c>
      <c r="I51" s="185">
        <f>SUM(I17:I50)</f>
        <v>1.5416666666666701</v>
      </c>
      <c r="J51" s="186">
        <f>SUM(J17:J50)</f>
        <v>0</v>
      </c>
      <c r="K51" s="187" t="str">
        <f ca="1">IF(SUMIF(K19:K49,"",L19:L49)&lt;SUMIF(K19:K49,"-",L19:L49),"-","")</f>
        <v/>
      </c>
      <c r="L51" s="188">
        <f ca="1">ABS(SUMIF(K19:K49,"",L19:L49)-SUMIF(K19:K49,"-",L19:L49))</f>
        <v>0.43750000000000022</v>
      </c>
    </row>
    <row r="52" spans="1:14" ht="13.5" thickBot="1" x14ac:dyDescent="0.25">
      <c r="A52" s="189"/>
      <c r="B52" s="189"/>
      <c r="C52" s="189"/>
      <c r="D52" s="189"/>
      <c r="G52" s="190" t="s">
        <v>12</v>
      </c>
      <c r="H52" s="281">
        <f>Sep!H51</f>
        <v>0.33333333333333331</v>
      </c>
      <c r="I52" s="191"/>
      <c r="J52" s="192"/>
      <c r="K52" s="193"/>
      <c r="L52" s="194"/>
    </row>
    <row r="53" spans="1:14" x14ac:dyDescent="0.2">
      <c r="A53" s="189"/>
      <c r="B53" s="189"/>
      <c r="C53" s="189"/>
      <c r="D53" s="189"/>
      <c r="G53" s="195"/>
      <c r="H53" s="281">
        <f>Sep!H52</f>
        <v>0.33333333333333331</v>
      </c>
      <c r="I53" s="196">
        <f>IF(I51&gt;J51,I51-J51,0)</f>
        <v>1.5416666666666701</v>
      </c>
      <c r="J53" s="197" t="str">
        <f>IF(J51&gt;I51,J51-I51,"")</f>
        <v/>
      </c>
      <c r="K53" s="198"/>
      <c r="L53" s="198"/>
    </row>
    <row r="54" spans="1:14" ht="13.5" thickBot="1" x14ac:dyDescent="0.25">
      <c r="A54" s="199" t="s">
        <v>15</v>
      </c>
      <c r="B54" s="199"/>
      <c r="C54" s="199"/>
      <c r="D54" s="199"/>
      <c r="E54" s="200"/>
      <c r="F54" s="200"/>
      <c r="G54" s="190" t="s">
        <v>13</v>
      </c>
      <c r="H54" s="281">
        <f>Sep!H53</f>
        <v>0.33333333333333331</v>
      </c>
      <c r="I54" s="201"/>
      <c r="J54" s="202"/>
      <c r="K54" s="198"/>
      <c r="L54" s="198"/>
    </row>
    <row r="55" spans="1:14" ht="13.5" thickBot="1" x14ac:dyDescent="0.25">
      <c r="A55" s="203" t="s">
        <v>4</v>
      </c>
      <c r="B55" s="203"/>
      <c r="C55" s="203"/>
      <c r="D55" s="203"/>
      <c r="E55" s="200"/>
      <c r="F55" s="200"/>
      <c r="G55" s="200"/>
      <c r="H55" s="281">
        <f>Sep!H54</f>
        <v>0.3125</v>
      </c>
      <c r="I55" s="200"/>
      <c r="J55" s="200"/>
      <c r="K55" s="204"/>
      <c r="L55" s="204"/>
    </row>
    <row r="56" spans="1:14" ht="13.35" customHeight="1" x14ac:dyDescent="0.2">
      <c r="A56" s="189"/>
      <c r="B56" s="189"/>
      <c r="C56" s="189"/>
      <c r="D56" s="189"/>
      <c r="E56" s="205" t="str">
        <f>Jan!E56</f>
        <v xml:space="preserve"> </v>
      </c>
      <c r="F56" s="206"/>
      <c r="G56" s="207" t="str">
        <f>IF(E56=" ", " ", IF(Mantelbogen!D26=I11,Mantelbogen!C29,MIN(Sep!G57,Mantelbogen!C33)))</f>
        <v xml:space="preserve"> </v>
      </c>
      <c r="H56" s="282">
        <v>0</v>
      </c>
      <c r="I56" s="223" t="s">
        <v>133</v>
      </c>
      <c r="J56" s="224"/>
      <c r="K56" s="204"/>
      <c r="L56" s="204"/>
    </row>
    <row r="57" spans="1:14" ht="13.5" thickBot="1" x14ac:dyDescent="0.25">
      <c r="A57" s="189"/>
      <c r="B57" s="189"/>
      <c r="C57" s="189"/>
      <c r="D57" s="189"/>
      <c r="E57" s="205" t="str">
        <f>Jan!E57</f>
        <v xml:space="preserve"> </v>
      </c>
      <c r="F57" s="207"/>
      <c r="G57" s="207" t="str">
        <f>IF(E56=" ", " ", -COUNTIF(C19:C49, "Urlaub*" ))</f>
        <v xml:space="preserve"> </v>
      </c>
      <c r="H57" s="283">
        <v>0</v>
      </c>
      <c r="I57" s="225"/>
      <c r="J57" s="226"/>
      <c r="K57" s="204"/>
      <c r="L57" s="208"/>
      <c r="M57" s="209"/>
    </row>
    <row r="58" spans="1:14" ht="21.95" customHeight="1" thickBot="1" x14ac:dyDescent="0.25">
      <c r="A58" s="199" t="s">
        <v>10</v>
      </c>
      <c r="B58" s="199"/>
      <c r="C58" s="199"/>
      <c r="D58" s="199"/>
      <c r="E58" s="205" t="str">
        <f>Jan!E58</f>
        <v xml:space="preserve"> </v>
      </c>
      <c r="F58" s="210"/>
      <c r="G58" s="211" t="str">
        <f>IF(E56=" ", " ", IF(Mantelbogen!C29 &gt; 0.0001, G56+G57, 0))</f>
        <v xml:space="preserve"> </v>
      </c>
      <c r="H58" s="287">
        <f>SUM(H51:H57)</f>
        <v>1.6458333333333333</v>
      </c>
      <c r="I58" s="227"/>
      <c r="J58" s="228"/>
      <c r="L58" s="212" t="str">
        <f>Mantelbogen!D50</f>
        <v>15.12.2025  HAdW / G. Wolff</v>
      </c>
      <c r="M58" s="209"/>
    </row>
    <row r="59" spans="1:14" x14ac:dyDescent="0.2">
      <c r="F59" s="213"/>
    </row>
    <row r="60" spans="1:14" x14ac:dyDescent="0.2">
      <c r="G60" s="214"/>
      <c r="H60" s="214"/>
      <c r="I60" s="214"/>
      <c r="J60" s="207"/>
    </row>
  </sheetData>
  <sheetProtection algorithmName="SHA-512" hashValue="oSS6l2B01o8qqYOS/btqXWh2yoU2b/PCalXXWw32pE8HkNYf5NGUKo6hbc4ypA3LxrzNE5Dlh7F8Up7MBKhOhw==" saltValue="+oIpjg2b3XNaZbWK2HKKmw==" spinCount="100000" sheet="1" objects="1" scenarios="1"/>
  <mergeCells count="64">
    <mergeCell ref="M15:M16"/>
    <mergeCell ref="A1:F2"/>
    <mergeCell ref="A3:F3"/>
    <mergeCell ref="A4:F6"/>
    <mergeCell ref="F19:G19"/>
    <mergeCell ref="F20:G20"/>
    <mergeCell ref="F21:G21"/>
    <mergeCell ref="A11:B11"/>
    <mergeCell ref="A13:B13"/>
    <mergeCell ref="A15:A18"/>
    <mergeCell ref="B15:B18"/>
    <mergeCell ref="C15:C18"/>
    <mergeCell ref="D15:D18"/>
    <mergeCell ref="E15:E18"/>
    <mergeCell ref="F27:G27"/>
    <mergeCell ref="F26:G26"/>
    <mergeCell ref="F24:G24"/>
    <mergeCell ref="F25:G25"/>
    <mergeCell ref="F22:G22"/>
    <mergeCell ref="F23:G23"/>
    <mergeCell ref="J51:J52"/>
    <mergeCell ref="A52:D53"/>
    <mergeCell ref="A54:D54"/>
    <mergeCell ref="G60:I60"/>
    <mergeCell ref="A55:D55"/>
    <mergeCell ref="A56:D57"/>
    <mergeCell ref="I56:J58"/>
    <mergeCell ref="A58:D58"/>
    <mergeCell ref="J53:J54"/>
    <mergeCell ref="I53:I54"/>
    <mergeCell ref="I51:I52"/>
    <mergeCell ref="F46:G46"/>
    <mergeCell ref="F47:G47"/>
    <mergeCell ref="F48:G48"/>
    <mergeCell ref="F49:G49"/>
    <mergeCell ref="A51:D51"/>
    <mergeCell ref="F45:G45"/>
    <mergeCell ref="F34:G34"/>
    <mergeCell ref="F35:G35"/>
    <mergeCell ref="F36:G36"/>
    <mergeCell ref="F37:G37"/>
    <mergeCell ref="F38:G38"/>
    <mergeCell ref="F39:G39"/>
    <mergeCell ref="F40:G40"/>
    <mergeCell ref="F41:G41"/>
    <mergeCell ref="F42:G42"/>
    <mergeCell ref="F43:G43"/>
    <mergeCell ref="F44:G44"/>
    <mergeCell ref="K15:L16"/>
    <mergeCell ref="K17:L18"/>
    <mergeCell ref="K51:K52"/>
    <mergeCell ref="L51:L52"/>
    <mergeCell ref="G1:J7"/>
    <mergeCell ref="F33:G33"/>
    <mergeCell ref="I15:J15"/>
    <mergeCell ref="I17:I18"/>
    <mergeCell ref="J17:J18"/>
    <mergeCell ref="F15:G18"/>
    <mergeCell ref="H15:H18"/>
    <mergeCell ref="F29:G29"/>
    <mergeCell ref="F30:G30"/>
    <mergeCell ref="F31:G31"/>
    <mergeCell ref="F28:G28"/>
    <mergeCell ref="F32:G32"/>
  </mergeCells>
  <phoneticPr fontId="0" type="noConversion"/>
  <conditionalFormatting sqref="A19:A49 C19:L49">
    <cfRule type="expression" dxfId="62" priority="1">
      <formula>COUNT(SEARCH(Sonderarbeit,$N19))&gt;=1</formula>
    </cfRule>
  </conditionalFormatting>
  <conditionalFormatting sqref="A19:L49">
    <cfRule type="expression" dxfId="61" priority="5">
      <formula>AND(ISTEXT($C19),$C19&lt;&gt;"Kinderkrankentag",$C19&lt;&gt;"Urlaub",$C19&lt;&gt;"Krank",$C19&lt;&gt;"Ausgleich")</formula>
    </cfRule>
  </conditionalFormatting>
  <conditionalFormatting sqref="C19:C49">
    <cfRule type="expression" dxfId="59" priority="7">
      <formula>ISTEXT($C19)</formula>
    </cfRule>
  </conditionalFormatting>
  <conditionalFormatting sqref="D19:H49">
    <cfRule type="expression" dxfId="55" priority="4">
      <formula>AND(ISTEXT($C19),OR($C19="Kinderkrankentag",$C19="Urlaub",$C19="Krank",$C19="Ausgleich"))</formula>
    </cfRule>
  </conditionalFormatting>
  <conditionalFormatting sqref="D19:J49">
    <cfRule type="expression" dxfId="54" priority="3">
      <formula>AND(ISTEXT($C19),$C19&lt;&gt;"Kinderkrankentag",$C19&lt;&gt;"Urlaub",$C19&lt;&gt;"Krank",$C19&lt;&gt;"Ausgleich")</formula>
    </cfRule>
  </conditionalFormatting>
  <conditionalFormatting sqref="F19:F49">
    <cfRule type="expression" dxfId="52" priority="11">
      <formula>AND(ISNONTEXT($C19),$F19 &gt; 0.666667)</formula>
    </cfRule>
  </conditionalFormatting>
  <dataValidations count="1">
    <dataValidation type="custom" errorStyle="warning" allowBlank="1" showErrorMessage="1" errorTitle="Samstagsarbeit" error="Tragen Sie hier bitte nur etwas ein, wenn Sie tatsächlich REGELMÄßIG und angeordnet Samstag arbeiten. Ansonsten tragen Sie bitte am entsprechenden Tag in Spalte N „Samstagsarbeit“ ein und der entsprechende Tag wird verfügbar." promptTitle="Samstagsarbeit" prompt="Tragen Sie hier bitte nur etwas ein, wenn Sie tatsächlich REGELMÄßIG und angeordnet Samstag arbeiten. Ansonsten tragen Sie bitte am entsprechenden Tag in Spalte N „Samstagsarbeit“ ein und der entsprechende Tag wird verfügbar." sqref="H56" xr:uid="{182F249B-E543-40A1-B552-54198E0410D9}">
      <formula1>$A$4="Arbeitszeitblatt"</formula1>
    </dataValidation>
  </dataValidations>
  <printOptions horizontalCentered="1" verticalCentered="1"/>
  <pageMargins left="1.0236220472440944" right="0.23622047244094491" top="0.15748031496062992" bottom="0.19685039370078741" header="0.15748031496062992" footer="0.15748031496062992"/>
  <pageSetup paperSize="9" scale="82" orientation="portrait" horizontalDpi="1200" verticalDpi="1200"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 id="{C609761D-CE0E-4F71-8D78-B7292A83FB3A}">
            <xm:f>OR(AND($B19=Ref!$A$7,$H$56=0), AND($B19=Ref!$A$8,$H$57=0), NOT( ISERROR(FIND("feiertag",LOWER($C19)) ) ) )</xm:f>
            <x14:dxf>
              <fill>
                <patternFill patternType="solid">
                  <bgColor theme="4" tint="0.79998168889431442"/>
                </patternFill>
              </fill>
            </x14:dxf>
          </x14:cfRule>
          <xm:sqref>A19:L49</xm:sqref>
        </x14:conditionalFormatting>
        <x14:conditionalFormatting xmlns:xm="http://schemas.microsoft.com/office/excel/2006/main">
          <x14:cfRule type="expression" priority="9" id="{B67CFCA8-25BC-48D2-91D5-9A801DDD0A57}">
            <xm:f>AND($B19=Ref!$A$7, $H$56&gt;0.00001)</xm:f>
            <x14:dxf>
              <font>
                <b val="0"/>
                <i val="0"/>
                <color theme="1"/>
              </font>
              <fill>
                <patternFill patternType="none">
                  <bgColor auto="1"/>
                </patternFill>
              </fill>
            </x14:dxf>
          </x14:cfRule>
          <x14:cfRule type="expression" priority="10" id="{5E3BDE44-D926-4CA0-836D-3FF2166D37D4}">
            <xm:f>AND($B19=Ref!$A$8, $H$57&gt;0.00001)</xm:f>
            <x14:dxf>
              <font>
                <b val="0"/>
                <i val="0"/>
              </font>
              <fill>
                <patternFill patternType="none">
                  <bgColor auto="1"/>
                </patternFill>
              </fill>
            </x14:dxf>
          </x14:cfRule>
          <xm:sqref>C19:I49</xm:sqref>
        </x14:conditionalFormatting>
        <x14:conditionalFormatting xmlns:xm="http://schemas.microsoft.com/office/excel/2006/main">
          <x14:cfRule type="expression" priority="8" id="{0CFD17C3-A4D4-4590-85B0-2DF36CDEC017}">
            <xm:f>OR(AND($B19=Ref!$A$7, $H$56&lt;0.00001),AND($B19=Ref!$A$8, $H$57&lt;0.00001))</xm:f>
            <x14:dxf>
              <font>
                <color theme="4" tint="0.79998168889431442"/>
              </font>
              <fill>
                <patternFill>
                  <bgColor theme="4" tint="0.79998168889431442"/>
                </patternFill>
              </fill>
            </x14:dxf>
          </x14:cfRule>
          <xm:sqref>C19:J49</xm:sqref>
        </x14:conditionalFormatting>
        <x14:conditionalFormatting xmlns:xm="http://schemas.microsoft.com/office/excel/2006/main">
          <x14:cfRule type="expression" priority="2" id="{91588628-A88C-4BD7-B5DA-5BB6B54D7D7A}">
            <xm:f>AND(OR(AND($F19 &gt; 0.250001, $E19 &lt; 0.020833332), AND($F19 &gt; 0.375, $E19 &lt; 0.03124999)  ),OR(AND($B19&lt;&gt;Ref!$A$7, $B19&lt;&gt;Ref!$A$8),COUNT(SEARCH(Sonderarbeit,$N19))&gt;=1),ISNUMBER($C19))</xm:f>
            <x14:dxf>
              <fill>
                <patternFill>
                  <bgColor rgb="FFFF0000"/>
                </patternFill>
              </fill>
            </x14:dxf>
          </x14:cfRule>
          <xm:sqref>E19:E49</xm:sqref>
        </x14:conditionalFormatting>
      </x14:conditionalFormattings>
    </ext>
    <ext xmlns:x14="http://schemas.microsoft.com/office/spreadsheetml/2009/9/main" uri="{CCE6A557-97BC-4b89-ADB6-D9C93CAAB3DF}">
      <x14:dataValidations xmlns:xm="http://schemas.microsoft.com/office/excel/2006/main" count="1">
        <x14:dataValidation type="custom" errorStyle="information" allowBlank="1" showInputMessage="1" showErrorMessage="1" errorTitle="Samstagsarbeit" error="Tragen Sie hier bitte nur die tasächlich angefallene Arbeit ein. Tragen Sie ggf. anfallende Zuschläge auf ein separates Tabellenblatt ein und übertragen diese in das Kästchen I50." xr:uid="{373801D2-A3E4-4C9E-85C1-87466295BD2E}">
          <x14:formula1>
            <xm:f>NOT(OFFSET(C19,0,2-COLUMN(C19))=Ref!$A$7)</xm:f>
          </x14:formula1>
          <xm:sqref>C19:E49</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pageSetUpPr fitToPage="1"/>
  </sheetPr>
  <dimension ref="A1:N61"/>
  <sheetViews>
    <sheetView zoomScaleNormal="100" workbookViewId="0">
      <selection sqref="A1:F2"/>
    </sheetView>
  </sheetViews>
  <sheetFormatPr defaultColWidth="11.5703125" defaultRowHeight="12.75" x14ac:dyDescent="0.2"/>
  <cols>
    <col min="1" max="1" width="5.5703125" style="125" customWidth="1"/>
    <col min="2" max="2" width="9.85546875" style="102" bestFit="1" customWidth="1"/>
    <col min="3" max="3" width="15.7109375" style="102" bestFit="1" customWidth="1"/>
    <col min="4" max="4" width="13.7109375" style="102" bestFit="1" customWidth="1"/>
    <col min="5" max="5" width="8.5703125" style="98" customWidth="1"/>
    <col min="6" max="6" width="7.140625" style="98" customWidth="1"/>
    <col min="7" max="7" width="3.42578125" style="98" customWidth="1"/>
    <col min="8" max="8" width="9.140625" style="98" customWidth="1"/>
    <col min="9" max="9" width="10.42578125" style="98" customWidth="1"/>
    <col min="10" max="10" width="10.140625" style="98" customWidth="1"/>
    <col min="11" max="11" width="2.85546875" style="98" customWidth="1"/>
    <col min="12" max="12" width="8.85546875" style="98" customWidth="1"/>
    <col min="13" max="13" width="16.42578125" style="294" customWidth="1"/>
    <col min="14" max="14" width="18.140625" style="100" customWidth="1"/>
    <col min="15" max="16384" width="11.5703125" style="98"/>
  </cols>
  <sheetData>
    <row r="1" spans="1:12" ht="15.75" customHeight="1" x14ac:dyDescent="0.2">
      <c r="A1" s="215" t="s">
        <v>48</v>
      </c>
      <c r="B1" s="215"/>
      <c r="C1" s="215"/>
      <c r="D1" s="215"/>
      <c r="E1" s="215"/>
      <c r="F1" s="215"/>
      <c r="G1" s="97" t="s">
        <v>9</v>
      </c>
      <c r="H1" s="97"/>
      <c r="I1" s="97"/>
      <c r="J1" s="97"/>
    </row>
    <row r="2" spans="1:12" ht="15.75" customHeight="1" x14ac:dyDescent="0.2">
      <c r="A2" s="215"/>
      <c r="B2" s="215"/>
      <c r="C2" s="215"/>
      <c r="D2" s="215"/>
      <c r="E2" s="215"/>
      <c r="F2" s="215"/>
      <c r="G2" s="97"/>
      <c r="H2" s="97"/>
      <c r="I2" s="97"/>
      <c r="J2" s="97"/>
    </row>
    <row r="3" spans="1:12" x14ac:dyDescent="0.2">
      <c r="A3" s="216" t="s">
        <v>11</v>
      </c>
      <c r="B3" s="216"/>
      <c r="C3" s="216"/>
      <c r="D3" s="216"/>
      <c r="E3" s="216"/>
      <c r="F3" s="216"/>
      <c r="G3" s="97"/>
      <c r="H3" s="97"/>
      <c r="I3" s="97"/>
      <c r="J3" s="97"/>
    </row>
    <row r="4" spans="1:12" ht="13.35" customHeight="1" x14ac:dyDescent="0.2">
      <c r="A4" s="217" t="s">
        <v>5</v>
      </c>
      <c r="B4" s="217"/>
      <c r="C4" s="217"/>
      <c r="D4" s="217"/>
      <c r="E4" s="217"/>
      <c r="F4" s="217"/>
      <c r="G4" s="97"/>
      <c r="H4" s="97"/>
      <c r="I4" s="97"/>
      <c r="J4" s="97"/>
    </row>
    <row r="5" spans="1:12" ht="6" customHeight="1" x14ac:dyDescent="0.2">
      <c r="A5" s="217"/>
      <c r="B5" s="217"/>
      <c r="C5" s="217"/>
      <c r="D5" s="217"/>
      <c r="E5" s="217"/>
      <c r="F5" s="217"/>
      <c r="G5" s="97"/>
      <c r="H5" s="97"/>
      <c r="I5" s="97"/>
      <c r="J5" s="97"/>
    </row>
    <row r="6" spans="1:12" ht="13.35" customHeight="1" x14ac:dyDescent="0.2">
      <c r="A6" s="217"/>
      <c r="B6" s="217"/>
      <c r="C6" s="217"/>
      <c r="D6" s="217"/>
      <c r="E6" s="217"/>
      <c r="F6" s="217"/>
      <c r="G6" s="97"/>
      <c r="H6" s="97"/>
      <c r="I6" s="97"/>
      <c r="J6" s="97"/>
    </row>
    <row r="7" spans="1:12" ht="13.35" customHeight="1" x14ac:dyDescent="0.2">
      <c r="A7" s="101"/>
      <c r="B7" s="101"/>
      <c r="C7" s="101"/>
      <c r="D7" s="101"/>
      <c r="E7" s="101"/>
      <c r="F7" s="101"/>
      <c r="G7" s="97"/>
      <c r="H7" s="97"/>
      <c r="I7" s="97"/>
      <c r="J7" s="97"/>
    </row>
    <row r="8" spans="1:12" ht="6" customHeight="1" thickBot="1" x14ac:dyDescent="0.25">
      <c r="A8" s="103"/>
      <c r="B8" s="104"/>
      <c r="C8" s="104"/>
      <c r="D8" s="104"/>
      <c r="E8" s="105"/>
      <c r="F8" s="105"/>
      <c r="G8" s="105"/>
      <c r="H8" s="105"/>
      <c r="I8" s="106"/>
      <c r="J8" s="106"/>
      <c r="K8" s="107"/>
      <c r="L8" s="108"/>
    </row>
    <row r="9" spans="1:12" ht="6" customHeight="1" x14ac:dyDescent="0.2">
      <c r="A9" s="109"/>
      <c r="B9" s="110"/>
      <c r="C9" s="110"/>
      <c r="D9" s="110"/>
      <c r="E9" s="111"/>
      <c r="F9" s="111"/>
      <c r="G9" s="111"/>
      <c r="H9" s="111"/>
      <c r="I9" s="112"/>
      <c r="J9" s="112"/>
      <c r="K9" s="113"/>
      <c r="L9" s="114"/>
    </row>
    <row r="10" spans="1:12" x14ac:dyDescent="0.2">
      <c r="A10" s="109"/>
      <c r="B10" s="110"/>
      <c r="C10" s="110"/>
      <c r="D10" s="110"/>
      <c r="E10" s="111"/>
      <c r="F10" s="111"/>
      <c r="G10" s="111"/>
      <c r="I10" s="112"/>
      <c r="J10" s="112"/>
      <c r="K10" s="113"/>
      <c r="L10" s="114"/>
    </row>
    <row r="11" spans="1:12" x14ac:dyDescent="0.2">
      <c r="A11" s="115" t="s">
        <v>6</v>
      </c>
      <c r="B11" s="115"/>
      <c r="C11" s="116" t="str">
        <f>Okt!C11</f>
        <v>ATHENE, Pallas</v>
      </c>
      <c r="D11" s="117"/>
      <c r="E11" s="118"/>
      <c r="F11" s="119"/>
      <c r="G11" s="119" t="s">
        <v>8</v>
      </c>
      <c r="H11" s="120"/>
      <c r="I11" s="121">
        <f>DATE(J11,11,1)</f>
        <v>46327</v>
      </c>
      <c r="J11" s="122">
        <f>Jan!J11</f>
        <v>2026</v>
      </c>
      <c r="K11" s="123"/>
      <c r="L11" s="124"/>
    </row>
    <row r="12" spans="1:12" x14ac:dyDescent="0.2">
      <c r="B12" s="114"/>
      <c r="C12" s="126"/>
      <c r="D12" s="127"/>
      <c r="E12" s="119"/>
      <c r="F12" s="119"/>
      <c r="G12" s="111"/>
      <c r="I12" s="289"/>
      <c r="J12" s="289"/>
      <c r="K12" s="289"/>
      <c r="L12" s="289"/>
    </row>
    <row r="13" spans="1:12" x14ac:dyDescent="0.2">
      <c r="A13" s="115" t="s">
        <v>7</v>
      </c>
      <c r="B13" s="115"/>
      <c r="C13" s="116" t="str">
        <f>Okt!C13</f>
        <v>Geschäftsstelle</v>
      </c>
      <c r="D13" s="130"/>
      <c r="E13" s="118"/>
      <c r="F13" s="131"/>
      <c r="G13" s="131"/>
      <c r="H13" s="120"/>
      <c r="I13" s="290"/>
      <c r="J13" s="290"/>
      <c r="K13" s="290"/>
      <c r="L13" s="290"/>
    </row>
    <row r="14" spans="1:12" ht="13.5" thickBot="1" x14ac:dyDescent="0.25">
      <c r="K14" s="113"/>
      <c r="L14" s="114"/>
    </row>
    <row r="15" spans="1:12" ht="13.35" customHeight="1" x14ac:dyDescent="0.2">
      <c r="A15" s="231"/>
      <c r="B15" s="231" t="s">
        <v>14</v>
      </c>
      <c r="C15" s="231" t="s">
        <v>110</v>
      </c>
      <c r="D15" s="231" t="s">
        <v>145</v>
      </c>
      <c r="E15" s="231" t="s">
        <v>16</v>
      </c>
      <c r="F15" s="133" t="s">
        <v>143</v>
      </c>
      <c r="G15" s="133"/>
      <c r="H15" s="134" t="s">
        <v>43</v>
      </c>
      <c r="I15" s="136" t="s">
        <v>0</v>
      </c>
      <c r="J15" s="136"/>
      <c r="K15" s="137" t="s">
        <v>41</v>
      </c>
      <c r="L15" s="138"/>
    </row>
    <row r="16" spans="1:12" ht="13.5" thickBot="1" x14ac:dyDescent="0.25">
      <c r="A16" s="237"/>
      <c r="B16" s="237"/>
      <c r="C16" s="237"/>
      <c r="D16" s="237"/>
      <c r="E16" s="237"/>
      <c r="F16" s="133"/>
      <c r="G16" s="133"/>
      <c r="H16" s="141"/>
      <c r="I16" s="143" t="s">
        <v>1</v>
      </c>
      <c r="J16" s="143" t="s">
        <v>2</v>
      </c>
      <c r="K16" s="144"/>
      <c r="L16" s="145"/>
    </row>
    <row r="17" spans="1:14" ht="12.95" customHeight="1" thickBot="1" x14ac:dyDescent="0.25">
      <c r="A17" s="237"/>
      <c r="B17" s="237"/>
      <c r="C17" s="237"/>
      <c r="D17" s="237"/>
      <c r="E17" s="237"/>
      <c r="F17" s="133"/>
      <c r="G17" s="133"/>
      <c r="H17" s="141"/>
      <c r="I17" s="147">
        <f>IF(Mantelbogen!D26=I11,Mantelbogen!C28,Okt!I53)</f>
        <v>1.5416666666666701</v>
      </c>
      <c r="J17" s="148" t="str">
        <f>IF(Mantelbogen!D26=I11,Mantelbogen!D28,Okt!J53)</f>
        <v/>
      </c>
      <c r="K17" s="149" t="str">
        <f>IF(I17/H57 &gt; 1, I17/H57, " " )</f>
        <v xml:space="preserve"> </v>
      </c>
      <c r="L17" s="244"/>
    </row>
    <row r="18" spans="1:14" ht="12.95" customHeight="1" thickBot="1" x14ac:dyDescent="0.25">
      <c r="A18" s="246"/>
      <c r="B18" s="247"/>
      <c r="C18" s="247"/>
      <c r="D18" s="247"/>
      <c r="E18" s="247"/>
      <c r="F18" s="133"/>
      <c r="G18" s="133"/>
      <c r="H18" s="152"/>
      <c r="I18" s="147"/>
      <c r="J18" s="148"/>
      <c r="K18" s="253"/>
      <c r="L18" s="254"/>
    </row>
    <row r="19" spans="1:14" ht="17.45" customHeight="1" x14ac:dyDescent="0.35">
      <c r="A19" s="155">
        <v>1</v>
      </c>
      <c r="B19" s="156" t="str">
        <f>TEXT(DATE(J$11,MONTH(I$11),A19),Textcode)</f>
        <v>Sonntag</v>
      </c>
      <c r="C19" s="157" t="s">
        <v>19</v>
      </c>
      <c r="D19" s="157">
        <v>0.70833333333333337</v>
      </c>
      <c r="E19" s="157">
        <v>2.0833333333333332E-2</v>
      </c>
      <c r="F19" s="158">
        <f>IF(ISTEXT(C19),,D19-C19-E19)</f>
        <v>0</v>
      </c>
      <c r="G19" s="159"/>
      <c r="H19" s="160">
        <f t="shared" ref="H19:H35" si="0">IF(AND(ISTEXT(C19),ISERR(SEARCH("ausgleich",C19,1))),,INDEX(H$50:H$57,WEEKDAY(DATE(J$11,MONTH(I$11),A19),2),1,1))</f>
        <v>0</v>
      </c>
      <c r="I19" s="161" t="str">
        <f t="array" ref="I19">IF(AND(F19&gt;H19,OR(AND(OR($B19&lt;&gt;Ref!$A$7,$H$55&gt;0),OR($B19&lt;&gt;Ref!$A$8,$H$56&gt;0)),COUNT(SEARCH(Sonderarbeit,$N19))&gt;=1),ISNONTEXT(C19),C19&lt;&gt;""),F19-H19,"")</f>
        <v/>
      </c>
      <c r="J19" s="162" t="str">
        <f t="array" ref="J19">IF(OR(AND(F19&lt;H19,OR(AND(OR($B19&lt;&gt;Ref!$A$7,$H$55&gt;0),OR($B19&lt;&gt;Ref!$A$8,$H$56&gt;0)),COUNT(SEARCH(Sonderarbeit,$N19))&gt;=1)),C19="Ausgleich"),H19-F19,"")</f>
        <v/>
      </c>
      <c r="K19" s="163" t="str">
        <f>IF(AND(B19=Ref!$A$8,SUM(I19:I19)&lt;SUM(J19:J19)),"-","")</f>
        <v/>
      </c>
      <c r="L19" s="164">
        <f>IF(B19=Ref!$A$8,ABS(SUM(I19:I19)-SUM(J19:J19)),"")</f>
        <v>0</v>
      </c>
      <c r="N19" s="288"/>
    </row>
    <row r="20" spans="1:14" ht="17.45" customHeight="1" x14ac:dyDescent="0.35">
      <c r="A20" s="155">
        <v>2</v>
      </c>
      <c r="B20" s="156" t="str">
        <f t="shared" ref="B20:B48" si="1">TEXT(DATE(J$11,MONTH(I$11),A20),Textcode)</f>
        <v>Montag</v>
      </c>
      <c r="C20" s="157">
        <v>0.35416666666666669</v>
      </c>
      <c r="D20" s="157">
        <v>0.70833333333333337</v>
      </c>
      <c r="E20" s="157">
        <v>2.0833333333333332E-2</v>
      </c>
      <c r="F20" s="158">
        <f t="shared" ref="F20:F48" si="2">IF(ISTEXT(C20),,D20-C20-E20)</f>
        <v>0.33333333333333337</v>
      </c>
      <c r="G20" s="159"/>
      <c r="H20" s="160">
        <f t="shared" si="0"/>
        <v>0.33333333333333331</v>
      </c>
      <c r="I20" s="161" t="str">
        <f t="array" ref="I20">IF(AND(F20&gt;H20,OR(AND(OR($B20&lt;&gt;Ref!$A$7,$H$55&gt;0),OR($B20&lt;&gt;Ref!$A$8,$H$56&gt;0)),COUNT(SEARCH(Sonderarbeit,$N20))&gt;=1),ISNONTEXT(C20),C20&lt;&gt;""),F20-H20,"")</f>
        <v/>
      </c>
      <c r="J20" s="162" t="str">
        <f t="array" ref="J20">IF(OR(AND(F20&lt;H20,OR(AND(OR($B20&lt;&gt;Ref!$A$7,$H$55&gt;0),OR($B20&lt;&gt;Ref!$A$8,$H$56&gt;0)),COUNT(SEARCH(Sonderarbeit,$N20))&gt;=1)),C20="Ausgleich"),H20-F20,"")</f>
        <v/>
      </c>
      <c r="K20" s="166" t="str">
        <f>IF(AND(B20=Ref!$A$8,SUM(I19:I20)&lt;SUM(J19:J20)),"-","")</f>
        <v/>
      </c>
      <c r="L20" s="167" t="str">
        <f>IF(B20=Ref!$A$8,ABS(SUM(I19:I20)-SUM(J19:J20)),"")</f>
        <v/>
      </c>
      <c r="M20" s="100"/>
    </row>
    <row r="21" spans="1:14" ht="17.45" customHeight="1" x14ac:dyDescent="0.35">
      <c r="A21" s="155">
        <v>3</v>
      </c>
      <c r="B21" s="156" t="str">
        <f t="shared" si="1"/>
        <v>Dienstag</v>
      </c>
      <c r="C21" s="157">
        <v>0.35416666666666669</v>
      </c>
      <c r="D21" s="157">
        <v>0.70833333333333337</v>
      </c>
      <c r="E21" s="157">
        <v>2.0833333333333332E-2</v>
      </c>
      <c r="F21" s="158">
        <f t="shared" si="2"/>
        <v>0.33333333333333337</v>
      </c>
      <c r="G21" s="159"/>
      <c r="H21" s="160">
        <f t="shared" si="0"/>
        <v>0.33333333333333331</v>
      </c>
      <c r="I21" s="161" t="str">
        <f t="array" ref="I21">IF(AND(F21&gt;H21,OR(AND(OR($B21&lt;&gt;Ref!$A$7,$H$55&gt;0),OR($B21&lt;&gt;Ref!$A$8,$H$56&gt;0)),COUNT(SEARCH(Sonderarbeit,$N21))&gt;=1),ISNONTEXT(C21),C21&lt;&gt;""),F21-H21,"")</f>
        <v/>
      </c>
      <c r="J21" s="162" t="str">
        <f t="array" ref="J21">IF(OR(AND(F21&lt;H21,OR(AND(OR($B21&lt;&gt;Ref!$A$7,$H$55&gt;0),OR($B21&lt;&gt;Ref!$A$8,$H$56&gt;0)),COUNT(SEARCH(Sonderarbeit,$N21))&gt;=1)),C21="Ausgleich"),H21-F21,"")</f>
        <v/>
      </c>
      <c r="K21" s="166" t="str">
        <f>IF(AND(B21=Ref!$A$8,SUM(I19:I21)&lt;SUM(J19:J21)),"-","")</f>
        <v/>
      </c>
      <c r="L21" s="167" t="str">
        <f>IF(B21=Ref!$A$8,ABS(SUM(I19:I21)-SUM(J19:J21)),"")</f>
        <v/>
      </c>
    </row>
    <row r="22" spans="1:14" ht="17.45" customHeight="1" x14ac:dyDescent="0.35">
      <c r="A22" s="168">
        <v>4</v>
      </c>
      <c r="B22" s="156" t="str">
        <f t="shared" si="1"/>
        <v>Mittwoch</v>
      </c>
      <c r="C22" s="157">
        <v>0.35416666666666669</v>
      </c>
      <c r="D22" s="157">
        <v>0.70833333333333337</v>
      </c>
      <c r="E22" s="157">
        <v>2.0833333333333332E-2</v>
      </c>
      <c r="F22" s="158">
        <f t="shared" si="2"/>
        <v>0.33333333333333337</v>
      </c>
      <c r="G22" s="159"/>
      <c r="H22" s="160">
        <f t="shared" si="0"/>
        <v>0.33333333333333331</v>
      </c>
      <c r="I22" s="161" t="str">
        <f t="array" ref="I22">IF(AND(F22&gt;H22,OR(AND(OR($B22&lt;&gt;Ref!$A$7,$H$55&gt;0),OR($B22&lt;&gt;Ref!$A$8,$H$56&gt;0)),COUNT(SEARCH(Sonderarbeit,$N22))&gt;=1),ISNONTEXT(C22),C22&lt;&gt;""),F22-H22,"")</f>
        <v/>
      </c>
      <c r="J22" s="162" t="str">
        <f t="array" ref="J22">IF(OR(AND(F22&lt;H22,OR(AND(OR($B22&lt;&gt;Ref!$A$7,$H$55&gt;0),OR($B22&lt;&gt;Ref!$A$8,$H$56&gt;0)),COUNT(SEARCH(Sonderarbeit,$N22))&gt;=1)),C22="Ausgleich"),H22-F22,"")</f>
        <v/>
      </c>
      <c r="K22" s="166" t="str">
        <f>IF(AND(B22=Ref!$A$8,SUM(I19:I22)&lt;SUM(J19:J22)),"-","")</f>
        <v/>
      </c>
      <c r="L22" s="167" t="str">
        <f>IF(B22=Ref!$A$8,ABS(SUM(I19:I22)-SUM(J19:J22)),"")</f>
        <v/>
      </c>
    </row>
    <row r="23" spans="1:14" ht="17.45" customHeight="1" x14ac:dyDescent="0.35">
      <c r="A23" s="168">
        <v>5</v>
      </c>
      <c r="B23" s="156" t="str">
        <f t="shared" si="1"/>
        <v>Donnerstag</v>
      </c>
      <c r="C23" s="157">
        <v>0.35416666666666669</v>
      </c>
      <c r="D23" s="157">
        <v>0.70833333333333337</v>
      </c>
      <c r="E23" s="157">
        <v>2.0833333333333332E-2</v>
      </c>
      <c r="F23" s="158">
        <f t="shared" si="2"/>
        <v>0.33333333333333337</v>
      </c>
      <c r="G23" s="159"/>
      <c r="H23" s="160">
        <f t="shared" si="0"/>
        <v>0.33333333333333331</v>
      </c>
      <c r="I23" s="161" t="str">
        <f t="array" ref="I23">IF(AND(F23&gt;H23,OR(AND(OR($B23&lt;&gt;Ref!$A$7,$H$55&gt;0),OR($B23&lt;&gt;Ref!$A$8,$H$56&gt;0)),COUNT(SEARCH(Sonderarbeit,$N23))&gt;=1),ISNONTEXT(C23),C23&lt;&gt;""),F23-H23,"")</f>
        <v/>
      </c>
      <c r="J23" s="162" t="str">
        <f t="array" ref="J23">IF(OR(AND(F23&lt;H23,OR(AND(OR($B23&lt;&gt;Ref!$A$7,$H$55&gt;0),OR($B23&lt;&gt;Ref!$A$8,$H$56&gt;0)),COUNT(SEARCH(Sonderarbeit,$N23))&gt;=1)),C23="Ausgleich"),H23-F23,"")</f>
        <v/>
      </c>
      <c r="K23" s="166" t="str">
        <f>IF(AND(B23=Ref!$A$8,SUM(I19:I23)&lt;SUM(J19:J23)),"-","")</f>
        <v/>
      </c>
      <c r="L23" s="167" t="str">
        <f>IF(B23=Ref!$A$8,ABS(SUM(I19:I23)-SUM(J19:J23)),"")</f>
        <v/>
      </c>
    </row>
    <row r="24" spans="1:14" ht="17.45" customHeight="1" x14ac:dyDescent="0.35">
      <c r="A24" s="155">
        <v>6</v>
      </c>
      <c r="B24" s="156" t="str">
        <f t="shared" si="1"/>
        <v>Freitag</v>
      </c>
      <c r="C24" s="157">
        <v>0.35416666666666669</v>
      </c>
      <c r="D24" s="157">
        <v>0.70833333333333337</v>
      </c>
      <c r="E24" s="157">
        <v>2.0833333333333332E-2</v>
      </c>
      <c r="F24" s="158">
        <f t="shared" si="2"/>
        <v>0.33333333333333337</v>
      </c>
      <c r="G24" s="159"/>
      <c r="H24" s="160">
        <f t="shared" si="0"/>
        <v>0.3125</v>
      </c>
      <c r="I24" s="161">
        <f t="array" ref="I24">IF(AND(F24&gt;H24,OR(AND(OR($B24&lt;&gt;Ref!$A$7,$H$55&gt;0),OR($B24&lt;&gt;Ref!$A$8,$H$56&gt;0)),COUNT(SEARCH(Sonderarbeit,$N24))&gt;=1),ISNONTEXT(C24),C24&lt;&gt;""),F24-H24,"")</f>
        <v>2.083333333333337E-2</v>
      </c>
      <c r="J24" s="162" t="str">
        <f t="array" ref="J24">IF(OR(AND(F24&lt;H24,OR(AND(OR($B24&lt;&gt;Ref!$A$7,$H$55&gt;0),OR($B24&lt;&gt;Ref!$A$8,$H$56&gt;0)),COUNT(SEARCH(Sonderarbeit,$N24))&gt;=1)),C24="Ausgleich"),H24-F24,"")</f>
        <v/>
      </c>
      <c r="K24" s="166" t="str">
        <f>IF(AND(B24=Ref!$A$8,SUM(I19:I24)&lt;SUM(J19:J24)),"-","")</f>
        <v/>
      </c>
      <c r="L24" s="167" t="str">
        <f>IF(B24=Ref!$A$8,ABS(SUM(I19:I24)-SUM(J19:J24)),"")</f>
        <v/>
      </c>
    </row>
    <row r="25" spans="1:14" ht="17.45" customHeight="1" x14ac:dyDescent="0.35">
      <c r="A25" s="168">
        <v>7</v>
      </c>
      <c r="B25" s="156" t="str">
        <f t="shared" si="1"/>
        <v>Samstag</v>
      </c>
      <c r="C25" s="157">
        <v>0.35416666666666669</v>
      </c>
      <c r="D25" s="157">
        <v>0.70833333333333337</v>
      </c>
      <c r="E25" s="157">
        <v>2.0833333333333332E-2</v>
      </c>
      <c r="F25" s="158">
        <f t="shared" si="2"/>
        <v>0.33333333333333337</v>
      </c>
      <c r="G25" s="159"/>
      <c r="H25" s="160">
        <f t="shared" si="0"/>
        <v>0</v>
      </c>
      <c r="I25" s="161" t="str">
        <f t="array" ref="I25">IF(AND(F25&gt;H25,OR(AND(OR($B25&lt;&gt;Ref!$A$7,$H$55&gt;0),OR($B25&lt;&gt;Ref!$A$8,$H$56&gt;0)),COUNT(SEARCH(Sonderarbeit,$N25))&gt;=1),ISNONTEXT(C25),C25&lt;&gt;""),F25-H25,"")</f>
        <v/>
      </c>
      <c r="J25" s="162" t="str">
        <f t="array" ref="J25">IF(OR(AND(F25&lt;H25,OR(AND(OR($B25&lt;&gt;Ref!$A$7,$H$55&gt;0),OR($B25&lt;&gt;Ref!$A$8,$H$56&gt;0)),COUNT(SEARCH(Sonderarbeit,$N25))&gt;=1)),C25="Ausgleich"),H25-F25,"")</f>
        <v/>
      </c>
      <c r="K25" s="166" t="str">
        <f>IF(AND(B25=Ref!$A$8,SUM(I19:I25)&lt;SUM(J19:J25)),"-","")</f>
        <v/>
      </c>
      <c r="L25" s="167" t="str">
        <f>IF(B25=Ref!$A$8,ABS(SUM(I19:I25)-SUM(J19:J25)),"")</f>
        <v/>
      </c>
    </row>
    <row r="26" spans="1:14" ht="17.45" customHeight="1" x14ac:dyDescent="0.35">
      <c r="A26" s="168">
        <v>8</v>
      </c>
      <c r="B26" s="156" t="str">
        <f t="shared" si="1"/>
        <v>Sonntag</v>
      </c>
      <c r="C26" s="157">
        <v>0.35416666666666669</v>
      </c>
      <c r="D26" s="157">
        <v>0.70833333333333337</v>
      </c>
      <c r="E26" s="157">
        <v>2.0833333333333332E-2</v>
      </c>
      <c r="F26" s="158">
        <f t="shared" si="2"/>
        <v>0.33333333333333337</v>
      </c>
      <c r="G26" s="159"/>
      <c r="H26" s="160">
        <f t="shared" si="0"/>
        <v>0</v>
      </c>
      <c r="I26" s="161" t="str">
        <f t="array" ref="I26">IF(AND(F26&gt;H26,OR(AND(OR($B26&lt;&gt;Ref!$A$7,$H$55&gt;0),OR($B26&lt;&gt;Ref!$A$8,$H$56&gt;0)),COUNT(SEARCH(Sonderarbeit,$N26))&gt;=1),ISNONTEXT(C26),C26&lt;&gt;""),F26-H26,"")</f>
        <v/>
      </c>
      <c r="J26" s="162" t="str">
        <f t="array" ref="J26">IF(OR(AND(F26&lt;H26,OR(AND(OR($B26&lt;&gt;Ref!$A$7,$H$55&gt;0),OR($B26&lt;&gt;Ref!$A$8,$H$56&gt;0)),COUNT(SEARCH(Sonderarbeit,$N26))&gt;=1)),C26="Ausgleich"),H26-F26,"")</f>
        <v/>
      </c>
      <c r="K26" s="166" t="str">
        <f>IF(AND(B26=Ref!$A$8,SUM(I20:I26)&lt;SUM(J20:J26)),"-","")</f>
        <v/>
      </c>
      <c r="L26" s="167">
        <f>IF(B26=Ref!$A$8,ABS(SUM(I20:I26)-SUM(J20:J26)),"")</f>
        <v>2.083333333333337E-2</v>
      </c>
    </row>
    <row r="27" spans="1:14" ht="17.45" customHeight="1" x14ac:dyDescent="0.35">
      <c r="A27" s="155">
        <v>9</v>
      </c>
      <c r="B27" s="156" t="str">
        <f t="shared" si="1"/>
        <v>Montag</v>
      </c>
      <c r="C27" s="157">
        <v>0.35416666666666669</v>
      </c>
      <c r="D27" s="157">
        <v>0.70833333333333337</v>
      </c>
      <c r="E27" s="157">
        <v>2.0833333333333332E-2</v>
      </c>
      <c r="F27" s="158">
        <f t="shared" si="2"/>
        <v>0.33333333333333337</v>
      </c>
      <c r="G27" s="159"/>
      <c r="H27" s="160">
        <f t="shared" si="0"/>
        <v>0.33333333333333331</v>
      </c>
      <c r="I27" s="161" t="str">
        <f t="array" ref="I27">IF(AND(F27&gt;H27,OR(AND(OR($B27&lt;&gt;Ref!$A$7,$H$55&gt;0),OR($B27&lt;&gt;Ref!$A$8,$H$56&gt;0)),COUNT(SEARCH(Sonderarbeit,$N27))&gt;=1),ISNONTEXT(C27),C27&lt;&gt;""),F27-H27,"")</f>
        <v/>
      </c>
      <c r="J27" s="162" t="str">
        <f t="array" ref="J27">IF(OR(AND(F27&lt;H27,OR(AND(OR($B27&lt;&gt;Ref!$A$7,$H$55&gt;0),OR($B27&lt;&gt;Ref!$A$8,$H$56&gt;0)),COUNT(SEARCH(Sonderarbeit,$N27))&gt;=1)),C27="Ausgleich"),H27-F27,"")</f>
        <v/>
      </c>
      <c r="K27" s="166" t="str">
        <f>IF(AND(B27=Ref!$A$8,SUM(I21:I27)&lt;SUM(J21:J27)),"-","")</f>
        <v/>
      </c>
      <c r="L27" s="167" t="str">
        <f>IF(B27=Ref!$A$8,ABS(SUM(I21:I27)-SUM(J21:J27)),"")</f>
        <v/>
      </c>
    </row>
    <row r="28" spans="1:14" ht="17.45" customHeight="1" x14ac:dyDescent="0.35">
      <c r="A28" s="155">
        <v>10</v>
      </c>
      <c r="B28" s="156" t="str">
        <f t="shared" si="1"/>
        <v>Dienstag</v>
      </c>
      <c r="C28" s="157">
        <v>0.35416666666666669</v>
      </c>
      <c r="D28" s="157">
        <v>0.70833333333333337</v>
      </c>
      <c r="E28" s="157">
        <v>2.0833333333333332E-2</v>
      </c>
      <c r="F28" s="158">
        <f t="shared" si="2"/>
        <v>0.33333333333333337</v>
      </c>
      <c r="G28" s="159"/>
      <c r="H28" s="160">
        <f t="shared" si="0"/>
        <v>0.33333333333333331</v>
      </c>
      <c r="I28" s="161" t="str">
        <f t="array" ref="I28">IF(AND(F28&gt;H28,OR(AND(OR($B28&lt;&gt;Ref!$A$7,$H$55&gt;0),OR($B28&lt;&gt;Ref!$A$8,$H$56&gt;0)),COUNT(SEARCH(Sonderarbeit,$N28))&gt;=1),ISNONTEXT(C28),C28&lt;&gt;""),F28-H28,"")</f>
        <v/>
      </c>
      <c r="J28" s="162" t="str">
        <f t="array" ref="J28">IF(OR(AND(F28&lt;H28,OR(AND(OR($B28&lt;&gt;Ref!$A$7,$H$55&gt;0),OR($B28&lt;&gt;Ref!$A$8,$H$56&gt;0)),COUNT(SEARCH(Sonderarbeit,$N28))&gt;=1)),C28="Ausgleich"),H28-F28,"")</f>
        <v/>
      </c>
      <c r="K28" s="166" t="str">
        <f>IF(AND(B28=Ref!$A$8,SUM(I22:I28)&lt;SUM(J22:J28)),"-","")</f>
        <v/>
      </c>
      <c r="L28" s="167" t="str">
        <f>IF(B28=Ref!$A$8,ABS(SUM(I22:I28)-SUM(J22:J28)),"")</f>
        <v/>
      </c>
    </row>
    <row r="29" spans="1:14" ht="17.45" customHeight="1" x14ac:dyDescent="0.35">
      <c r="A29" s="168">
        <v>11</v>
      </c>
      <c r="B29" s="156" t="str">
        <f t="shared" si="1"/>
        <v>Mittwoch</v>
      </c>
      <c r="C29" s="157">
        <v>0.35416666666666669</v>
      </c>
      <c r="D29" s="157">
        <v>0.70833333333333337</v>
      </c>
      <c r="E29" s="157">
        <v>2.0833333333333332E-2</v>
      </c>
      <c r="F29" s="158">
        <f t="shared" si="2"/>
        <v>0.33333333333333337</v>
      </c>
      <c r="G29" s="159"/>
      <c r="H29" s="160">
        <f t="shared" si="0"/>
        <v>0.33333333333333331</v>
      </c>
      <c r="I29" s="161" t="str">
        <f t="array" ref="I29">IF(AND(F29&gt;H29,OR(AND(OR($B29&lt;&gt;Ref!$A$7,$H$55&gt;0),OR($B29&lt;&gt;Ref!$A$8,$H$56&gt;0)),COUNT(SEARCH(Sonderarbeit,$N29))&gt;=1),ISNONTEXT(C29),C29&lt;&gt;""),F29-H29,"")</f>
        <v/>
      </c>
      <c r="J29" s="162" t="str">
        <f t="array" ref="J29">IF(OR(AND(F29&lt;H29,OR(AND(OR($B29&lt;&gt;Ref!$A$7,$H$55&gt;0),OR($B29&lt;&gt;Ref!$A$8,$H$56&gt;0)),COUNT(SEARCH(Sonderarbeit,$N29))&gt;=1)),C29="Ausgleich"),H29-F29,"")</f>
        <v/>
      </c>
      <c r="K29" s="166" t="str">
        <f>IF(AND(B29=Ref!$A$8,SUM(I23:I29)&lt;SUM(J23:J29)),"-","")</f>
        <v/>
      </c>
      <c r="L29" s="167" t="str">
        <f>IF(B29=Ref!$A$8,ABS(SUM(I23:I29)-SUM(J23:J29)),"")</f>
        <v/>
      </c>
    </row>
    <row r="30" spans="1:14" ht="17.45" customHeight="1" x14ac:dyDescent="0.35">
      <c r="A30" s="168">
        <v>12</v>
      </c>
      <c r="B30" s="156" t="str">
        <f t="shared" si="1"/>
        <v>Donnerstag</v>
      </c>
      <c r="C30" s="157">
        <v>0.35416666666666669</v>
      </c>
      <c r="D30" s="157">
        <v>0.70833333333333337</v>
      </c>
      <c r="E30" s="157">
        <v>2.0833333333333332E-2</v>
      </c>
      <c r="F30" s="158">
        <f t="shared" si="2"/>
        <v>0.33333333333333337</v>
      </c>
      <c r="G30" s="159"/>
      <c r="H30" s="160">
        <f t="shared" si="0"/>
        <v>0.33333333333333331</v>
      </c>
      <c r="I30" s="161" t="str">
        <f t="array" ref="I30">IF(AND(F30&gt;H30,OR(AND(OR($B30&lt;&gt;Ref!$A$7,$H$55&gt;0),OR($B30&lt;&gt;Ref!$A$8,$H$56&gt;0)),COUNT(SEARCH(Sonderarbeit,$N30))&gt;=1),ISNONTEXT(C30),C30&lt;&gt;""),F30-H30,"")</f>
        <v/>
      </c>
      <c r="J30" s="162" t="str">
        <f t="array" ref="J30">IF(OR(AND(F30&lt;H30,OR(AND(OR($B30&lt;&gt;Ref!$A$7,$H$55&gt;0),OR($B30&lt;&gt;Ref!$A$8,$H$56&gt;0)),COUNT(SEARCH(Sonderarbeit,$N30))&gt;=1)),C30="Ausgleich"),H30-F30,"")</f>
        <v/>
      </c>
      <c r="K30" s="166" t="str">
        <f>IF(AND(B30=Ref!$A$8,SUM(I24:I30)&lt;SUM(J24:J30)),"-","")</f>
        <v/>
      </c>
      <c r="L30" s="167" t="str">
        <f>IF(B30=Ref!$A$8,ABS(SUM(I24:I30)-SUM(J24:J30)),"")</f>
        <v/>
      </c>
    </row>
    <row r="31" spans="1:14" ht="17.45" customHeight="1" x14ac:dyDescent="0.35">
      <c r="A31" s="168">
        <v>13</v>
      </c>
      <c r="B31" s="156" t="str">
        <f t="shared" si="1"/>
        <v>Freitag</v>
      </c>
      <c r="C31" s="157">
        <v>0.35416666666666669</v>
      </c>
      <c r="D31" s="157">
        <v>0.70833333333333337</v>
      </c>
      <c r="E31" s="157">
        <v>2.0833333333333332E-2</v>
      </c>
      <c r="F31" s="158">
        <f t="shared" si="2"/>
        <v>0.33333333333333337</v>
      </c>
      <c r="G31" s="159"/>
      <c r="H31" s="160">
        <f t="shared" si="0"/>
        <v>0.3125</v>
      </c>
      <c r="I31" s="161">
        <f t="array" ref="I31">IF(AND(F31&gt;H31,OR(AND(OR($B31&lt;&gt;Ref!$A$7,$H$55&gt;0),OR($B31&lt;&gt;Ref!$A$8,$H$56&gt;0)),COUNT(SEARCH(Sonderarbeit,$N31))&gt;=1),ISNONTEXT(C31),C31&lt;&gt;""),F31-H31,"")</f>
        <v>2.083333333333337E-2</v>
      </c>
      <c r="J31" s="162" t="str">
        <f t="array" ref="J31">IF(OR(AND(F31&lt;H31,OR(AND(OR($B31&lt;&gt;Ref!$A$7,$H$55&gt;0),OR($B31&lt;&gt;Ref!$A$8,$H$56&gt;0)),COUNT(SEARCH(Sonderarbeit,$N31))&gt;=1)),C31="Ausgleich"),H31-F31,"")</f>
        <v/>
      </c>
      <c r="K31" s="166" t="str">
        <f>IF(AND(B31=Ref!$A$8,SUM(I25:I31)&lt;SUM(J25:J31)),"-","")</f>
        <v/>
      </c>
      <c r="L31" s="167" t="str">
        <f>IF(B31=Ref!$A$8,ABS(SUM(I25:I31)-SUM(J25:J31)),"")</f>
        <v/>
      </c>
    </row>
    <row r="32" spans="1:14" ht="17.45" customHeight="1" x14ac:dyDescent="0.35">
      <c r="A32" s="168">
        <v>14</v>
      </c>
      <c r="B32" s="156" t="str">
        <f t="shared" si="1"/>
        <v>Samstag</v>
      </c>
      <c r="C32" s="157">
        <v>0.35416666666666669</v>
      </c>
      <c r="D32" s="157">
        <v>0.70833333333333337</v>
      </c>
      <c r="E32" s="157">
        <v>2.0833333333333332E-2</v>
      </c>
      <c r="F32" s="158">
        <f t="shared" si="2"/>
        <v>0.33333333333333337</v>
      </c>
      <c r="G32" s="159"/>
      <c r="H32" s="160">
        <f t="shared" si="0"/>
        <v>0</v>
      </c>
      <c r="I32" s="161" t="str">
        <f t="array" ref="I32">IF(AND(F32&gt;H32,OR(AND(OR($B32&lt;&gt;Ref!$A$7,$H$55&gt;0),OR($B32&lt;&gt;Ref!$A$8,$H$56&gt;0)),COUNT(SEARCH(Sonderarbeit,$N32))&gt;=1),ISNONTEXT(C32),C32&lt;&gt;""),F32-H32,"")</f>
        <v/>
      </c>
      <c r="J32" s="162" t="str">
        <f t="array" ref="J32">IF(OR(AND(F32&lt;H32,OR(AND(OR($B32&lt;&gt;Ref!$A$7,$H$55&gt;0),OR($B32&lt;&gt;Ref!$A$8,$H$56&gt;0)),COUNT(SEARCH(Sonderarbeit,$N32))&gt;=1)),C32="Ausgleich"),H32-F32,"")</f>
        <v/>
      </c>
      <c r="K32" s="166" t="str">
        <f>IF(AND(B32=Ref!$A$8,SUM(I26:I32)&lt;SUM(J26:J32)),"-","")</f>
        <v/>
      </c>
      <c r="L32" s="167" t="str">
        <f>IF(B32=Ref!$A$8,ABS(SUM(I26:I32)-SUM(J26:J32)),"")</f>
        <v/>
      </c>
    </row>
    <row r="33" spans="1:14" ht="17.45" customHeight="1" x14ac:dyDescent="0.35">
      <c r="A33" s="155">
        <v>15</v>
      </c>
      <c r="B33" s="156" t="str">
        <f t="shared" si="1"/>
        <v>Sonntag</v>
      </c>
      <c r="C33" s="157">
        <v>0.35416666666666669</v>
      </c>
      <c r="D33" s="157">
        <v>0.70833333333333337</v>
      </c>
      <c r="E33" s="157">
        <v>2.0833333333333332E-2</v>
      </c>
      <c r="F33" s="158">
        <f t="shared" si="2"/>
        <v>0.33333333333333337</v>
      </c>
      <c r="G33" s="159"/>
      <c r="H33" s="160">
        <f t="shared" si="0"/>
        <v>0</v>
      </c>
      <c r="I33" s="161" t="str">
        <f t="array" ref="I33">IF(AND(F33&gt;H33,OR(AND(OR($B33&lt;&gt;Ref!$A$7,$H$55&gt;0),OR($B33&lt;&gt;Ref!$A$8,$H$56&gt;0)),COUNT(SEARCH(Sonderarbeit,$N33))&gt;=1),ISNONTEXT(C33),C33&lt;&gt;""),F33-H33,"")</f>
        <v/>
      </c>
      <c r="J33" s="162" t="str">
        <f t="array" ref="J33">IF(OR(AND(F33&lt;H33,OR(AND(OR($B33&lt;&gt;Ref!$A$7,$H$55&gt;0),OR($B33&lt;&gt;Ref!$A$8,$H$56&gt;0)),COUNT(SEARCH(Sonderarbeit,$N33))&gt;=1)),C33="Ausgleich"),H33-F33,"")</f>
        <v/>
      </c>
      <c r="K33" s="166" t="str">
        <f>IF(AND(B33=Ref!$A$8,SUM(I27:I33)&lt;SUM(J27:J33)),"-","")</f>
        <v/>
      </c>
      <c r="L33" s="167">
        <f>IF(B33=Ref!$A$8,ABS(SUM(I27:I33)-SUM(J27:J33)),"")</f>
        <v>2.083333333333337E-2</v>
      </c>
    </row>
    <row r="34" spans="1:14" ht="17.45" customHeight="1" x14ac:dyDescent="0.35">
      <c r="A34" s="155">
        <v>16</v>
      </c>
      <c r="B34" s="156" t="str">
        <f t="shared" si="1"/>
        <v>Montag</v>
      </c>
      <c r="C34" s="157">
        <v>0.35416666666666669</v>
      </c>
      <c r="D34" s="157">
        <v>0.70833333333333337</v>
      </c>
      <c r="E34" s="157">
        <v>2.0833333333333332E-2</v>
      </c>
      <c r="F34" s="158">
        <f t="shared" si="2"/>
        <v>0.33333333333333337</v>
      </c>
      <c r="G34" s="159"/>
      <c r="H34" s="160">
        <f t="shared" si="0"/>
        <v>0.33333333333333331</v>
      </c>
      <c r="I34" s="161" t="str">
        <f t="array" ref="I34">IF(AND(F34&gt;H34,OR(AND(OR($B34&lt;&gt;Ref!$A$7,$H$55&gt;0),OR($B34&lt;&gt;Ref!$A$8,$H$56&gt;0)),COUNT(SEARCH(Sonderarbeit,$N34))&gt;=1),ISNONTEXT(C34),C34&lt;&gt;""),F34-H34,"")</f>
        <v/>
      </c>
      <c r="J34" s="162" t="str">
        <f t="array" ref="J34">IF(OR(AND(F34&lt;H34,OR(AND(OR($B34&lt;&gt;Ref!$A$7,$H$55&gt;0),OR($B34&lt;&gt;Ref!$A$8,$H$56&gt;0)),COUNT(SEARCH(Sonderarbeit,$N34))&gt;=1)),C34="Ausgleich"),H34-F34,"")</f>
        <v/>
      </c>
      <c r="K34" s="166" t="str">
        <f>IF(AND(B34=Ref!$A$8,SUM(I28:I34)&lt;SUM(J28:J34)),"-","")</f>
        <v/>
      </c>
      <c r="L34" s="167" t="str">
        <f>IF(B34=Ref!$A$8,ABS(SUM(I28:I34)-SUM(J28:J34)),"")</f>
        <v/>
      </c>
    </row>
    <row r="35" spans="1:14" ht="17.45" customHeight="1" x14ac:dyDescent="0.35">
      <c r="A35" s="155">
        <v>17</v>
      </c>
      <c r="B35" s="156" t="str">
        <f t="shared" si="1"/>
        <v>Dienstag</v>
      </c>
      <c r="C35" s="157">
        <v>0.35416666666666669</v>
      </c>
      <c r="D35" s="157">
        <v>0.70833333333333337</v>
      </c>
      <c r="E35" s="157">
        <v>2.0833333333333332E-2</v>
      </c>
      <c r="F35" s="158">
        <f t="shared" si="2"/>
        <v>0.33333333333333337</v>
      </c>
      <c r="G35" s="159"/>
      <c r="H35" s="160">
        <f t="shared" si="0"/>
        <v>0.33333333333333331</v>
      </c>
      <c r="I35" s="161" t="str">
        <f t="array" ref="I35">IF(AND(F35&gt;H35,OR(AND(OR($B35&lt;&gt;Ref!$A$7,$H$55&gt;0),OR($B35&lt;&gt;Ref!$A$8,$H$56&gt;0)),COUNT(SEARCH(Sonderarbeit,$N35))&gt;=1),ISNONTEXT(C35),C35&lt;&gt;""),F35-H35,"")</f>
        <v/>
      </c>
      <c r="J35" s="162" t="str">
        <f t="array" ref="J35">IF(OR(AND(F35&lt;H35,OR(AND(OR($B35&lt;&gt;Ref!$A$7,$H$55&gt;0),OR($B35&lt;&gt;Ref!$A$8,$H$56&gt;0)),COUNT(SEARCH(Sonderarbeit,$N35))&gt;=1)),C35="Ausgleich"),H35-F35,"")</f>
        <v/>
      </c>
      <c r="K35" s="166" t="str">
        <f>IF(AND(B35=Ref!$A$8,SUM(I29:I35)&lt;SUM(J29:J35)),"-","")</f>
        <v/>
      </c>
      <c r="L35" s="167" t="str">
        <f>IF(B35=Ref!$A$8,ABS(SUM(I29:I35)-SUM(J29:J35)),"")</f>
        <v/>
      </c>
    </row>
    <row r="36" spans="1:14" ht="17.45" customHeight="1" x14ac:dyDescent="0.35">
      <c r="A36" s="155">
        <v>18</v>
      </c>
      <c r="B36" s="156" t="str">
        <f t="shared" si="1"/>
        <v>Mittwoch</v>
      </c>
      <c r="C36" s="157">
        <v>0.35416666666666669</v>
      </c>
      <c r="D36" s="157">
        <v>0.35416666666666669</v>
      </c>
      <c r="E36" s="157">
        <v>0</v>
      </c>
      <c r="F36" s="158">
        <f t="shared" si="2"/>
        <v>0</v>
      </c>
      <c r="G36" s="159"/>
      <c r="H36" s="160">
        <f>IF(AND(ISTEXT(C36),ISERR(SEARCH("ausgleich",C36,1))),,INDEX(H$50:H$57,WEEKDAY(DATE(J$11,MONTH(I$11),A36),2),1,1))</f>
        <v>0.33333333333333331</v>
      </c>
      <c r="I36" s="161" t="str">
        <f t="array" ref="I36">IF(AND(F36&gt;H36,OR(AND(OR($B36&lt;&gt;Ref!$A$7,$H$55&gt;0),OR($B36&lt;&gt;Ref!$A$8,$H$56&gt;0)),COUNT(SEARCH(Sonderarbeit,$N36))&gt;=1),ISNONTEXT(C36),C36&lt;&gt;""),F36-H36,"")</f>
        <v/>
      </c>
      <c r="J36" s="162">
        <f t="array" ref="J36">IF(OR(AND(F36&lt;H36,OR(AND(OR($B36&lt;&gt;Ref!$A$7,$H$55&gt;0),OR($B36&lt;&gt;Ref!$A$8,$H$56&gt;0)),COUNT(SEARCH(Sonderarbeit,$N36))&gt;=1)),C36="Ausgleich"),H36-F36,"")</f>
        <v>0.33333333333333331</v>
      </c>
      <c r="K36" s="166" t="str">
        <f>IF(AND(B36=Ref!$A$8,SUM(I30:I36)&lt;SUM(J30:J36)),"-","")</f>
        <v/>
      </c>
      <c r="L36" s="167" t="str">
        <f>IF(B36=Ref!$A$8,ABS(SUM(I30:I36)-SUM(J30:J36)),"")</f>
        <v/>
      </c>
    </row>
    <row r="37" spans="1:14" ht="17.45" customHeight="1" x14ac:dyDescent="0.35">
      <c r="A37" s="155">
        <v>19</v>
      </c>
      <c r="B37" s="156" t="str">
        <f t="shared" si="1"/>
        <v>Donnerstag</v>
      </c>
      <c r="C37" s="157">
        <v>0.35416666666666669</v>
      </c>
      <c r="D37" s="157">
        <v>0.70833333333333337</v>
      </c>
      <c r="E37" s="157">
        <v>2.0833333333333332E-2</v>
      </c>
      <c r="F37" s="158">
        <f t="shared" si="2"/>
        <v>0.33333333333333337</v>
      </c>
      <c r="G37" s="159"/>
      <c r="H37" s="160">
        <f t="shared" ref="H37:H48" si="3">IF(AND(ISTEXT(C37),ISERR(SEARCH("ausgleich",C37,1))),,INDEX(H$50:H$57,WEEKDAY(DATE(J$11,MONTH(I$11),A37),2),1,1))</f>
        <v>0.33333333333333331</v>
      </c>
      <c r="I37" s="161" t="str">
        <f t="array" ref="I37">IF(AND(F37&gt;H37,OR(AND(OR($B37&lt;&gt;Ref!$A$7,$H$55&gt;0),OR($B37&lt;&gt;Ref!$A$8,$H$56&gt;0)),COUNT(SEARCH(Sonderarbeit,$N37))&gt;=1),ISNONTEXT(C37),C37&lt;&gt;""),F37-H37,"")</f>
        <v/>
      </c>
      <c r="J37" s="162" t="str">
        <f t="array" ref="J37">IF(OR(AND(F37&lt;H37,OR(AND(OR($B37&lt;&gt;Ref!$A$7,$H$55&gt;0),OR($B37&lt;&gt;Ref!$A$8,$H$56&gt;0)),COUNT(SEARCH(Sonderarbeit,$N37))&gt;=1)),C37="Ausgleich"),H37-F37,"")</f>
        <v/>
      </c>
      <c r="K37" s="166" t="str">
        <f>IF(AND(B37=Ref!$A$8,SUM(I31:I37)&lt;SUM(J31:J37)),"-","")</f>
        <v/>
      </c>
      <c r="L37" s="167" t="str">
        <f>IF(B37=Ref!$A$8,ABS(SUM(I31:I37)-SUM(J31:J37)),"")</f>
        <v/>
      </c>
    </row>
    <row r="38" spans="1:14" ht="17.45" customHeight="1" x14ac:dyDescent="0.35">
      <c r="A38" s="155">
        <v>20</v>
      </c>
      <c r="B38" s="156" t="str">
        <f t="shared" si="1"/>
        <v>Freitag</v>
      </c>
      <c r="C38" s="157">
        <v>0.35416666666666669</v>
      </c>
      <c r="D38" s="157">
        <v>0.70833333333333337</v>
      </c>
      <c r="E38" s="157">
        <v>2.0833333333333332E-2</v>
      </c>
      <c r="F38" s="158">
        <f t="shared" si="2"/>
        <v>0.33333333333333337</v>
      </c>
      <c r="G38" s="159"/>
      <c r="H38" s="160">
        <f t="shared" si="3"/>
        <v>0.3125</v>
      </c>
      <c r="I38" s="161">
        <f t="array" ref="I38">IF(AND(F38&gt;H38,OR(AND(OR($B38&lt;&gt;Ref!$A$7,$H$55&gt;0),OR($B38&lt;&gt;Ref!$A$8,$H$56&gt;0)),COUNT(SEARCH(Sonderarbeit,$N38))&gt;=1),ISNONTEXT(C38),C38&lt;&gt;""),F38-H38,"")</f>
        <v>2.083333333333337E-2</v>
      </c>
      <c r="J38" s="162" t="str">
        <f t="array" ref="J38">IF(OR(AND(F38&lt;H38,OR(AND(OR($B38&lt;&gt;Ref!$A$7,$H$55&gt;0),OR($B38&lt;&gt;Ref!$A$8,$H$56&gt;0)),COUNT(SEARCH(Sonderarbeit,$N38))&gt;=1)),C38="Ausgleich"),H38-F38,"")</f>
        <v/>
      </c>
      <c r="K38" s="166" t="str">
        <f>IF(AND(B38=Ref!$A$8,SUM(I32:I38)&lt;SUM(J32:J38)),"-","")</f>
        <v/>
      </c>
      <c r="L38" s="167" t="str">
        <f>IF(B38=Ref!$A$8,ABS(SUM(I32:I38)-SUM(J32:J38)),"")</f>
        <v/>
      </c>
      <c r="N38" s="100" t="str">
        <f>IF(Mantelbogen!$C$8="Geschäftsstelle", "Klassensitzung", "")</f>
        <v>Klassensitzung</v>
      </c>
    </row>
    <row r="39" spans="1:14" ht="17.45" customHeight="1" x14ac:dyDescent="0.35">
      <c r="A39" s="155">
        <v>21</v>
      </c>
      <c r="B39" s="156" t="str">
        <f t="shared" si="1"/>
        <v>Samstag</v>
      </c>
      <c r="C39" s="157">
        <v>0.35416666666666669</v>
      </c>
      <c r="D39" s="157">
        <v>0.70833333333333337</v>
      </c>
      <c r="E39" s="157">
        <v>2.0833333333333332E-2</v>
      </c>
      <c r="F39" s="158">
        <f t="shared" si="2"/>
        <v>0.33333333333333337</v>
      </c>
      <c r="G39" s="159"/>
      <c r="H39" s="160">
        <f t="shared" si="3"/>
        <v>0</v>
      </c>
      <c r="I39" s="161">
        <f t="array" ref="I39">IF(AND(F39&gt;H39,OR(AND(OR($B39&lt;&gt;Ref!$A$7,$H$55&gt;0),OR($B39&lt;&gt;Ref!$A$8,$H$56&gt;0)),COUNT(SEARCH(Sonderarbeit,$N39))&gt;=1),ISNONTEXT(C39),C39&lt;&gt;""),F39-H39,"")</f>
        <v>0.33333333333333337</v>
      </c>
      <c r="J39" s="162" t="str">
        <f t="array" ref="J39">IF(OR(AND(F39&lt;H39,OR(AND(OR($B39&lt;&gt;Ref!$A$7,$H$55&gt;0),OR($B39&lt;&gt;Ref!$A$8,$H$56&gt;0)),COUNT(SEARCH(Sonderarbeit,$N39))&gt;=1)),C39="Ausgleich"),H39-F39,"")</f>
        <v/>
      </c>
      <c r="K39" s="166" t="str">
        <f>IF(AND(B39=Ref!$A$8,SUM(I33:I39)&lt;SUM(J33:J39)),"-","")</f>
        <v/>
      </c>
      <c r="L39" s="167" t="str">
        <f>IF(B39=Ref!$A$8,ABS(SUM(I33:I39)-SUM(J33:J39)),"")</f>
        <v/>
      </c>
      <c r="N39" s="100" t="str">
        <f>IF(Mantelbogen!$C$8="Geschäftsstelle", "Gesamtsitzung", "")</f>
        <v>Gesamtsitzung</v>
      </c>
    </row>
    <row r="40" spans="1:14" ht="17.45" customHeight="1" x14ac:dyDescent="0.35">
      <c r="A40" s="155">
        <v>22</v>
      </c>
      <c r="B40" s="156" t="str">
        <f t="shared" si="1"/>
        <v>Sonntag</v>
      </c>
      <c r="C40" s="157">
        <v>0.35416666666666669</v>
      </c>
      <c r="D40" s="157">
        <v>0.70833333333333337</v>
      </c>
      <c r="E40" s="157">
        <v>2.0833333333333332E-2</v>
      </c>
      <c r="F40" s="158">
        <f t="shared" si="2"/>
        <v>0.33333333333333337</v>
      </c>
      <c r="G40" s="159"/>
      <c r="H40" s="160">
        <f t="shared" si="3"/>
        <v>0</v>
      </c>
      <c r="I40" s="161" t="str">
        <f t="array" ref="I40">IF(AND(F40&gt;H40,OR(AND(OR($B40&lt;&gt;Ref!$A$7,$H$55&gt;0),OR($B40&lt;&gt;Ref!$A$8,$H$56&gt;0)),COUNT(SEARCH(Sonderarbeit,$N40))&gt;=1),ISNONTEXT(C40),C40&lt;&gt;""),F40-H40,"")</f>
        <v/>
      </c>
      <c r="J40" s="162" t="str">
        <f t="array" ref="J40">IF(OR(AND(F40&lt;H40,OR(AND(OR($B40&lt;&gt;Ref!$A$7,$H$55&gt;0),OR($B40&lt;&gt;Ref!$A$8,$H$56&gt;0)),COUNT(SEARCH(Sonderarbeit,$N40))&gt;=1)),C40="Ausgleich"),H40-F40,"")</f>
        <v/>
      </c>
      <c r="K40" s="166" t="str">
        <f>IF(AND(B40=Ref!$A$8,SUM(I34:I40)&lt;SUM(J34:J40)),"-","")</f>
        <v/>
      </c>
      <c r="L40" s="167">
        <f>IF(B40=Ref!$A$8,ABS(SUM(I34:I40)-SUM(J34:J40)),"")</f>
        <v>2.0833333333333426E-2</v>
      </c>
    </row>
    <row r="41" spans="1:14" ht="17.45" customHeight="1" x14ac:dyDescent="0.35">
      <c r="A41" s="155">
        <v>23</v>
      </c>
      <c r="B41" s="156" t="str">
        <f t="shared" si="1"/>
        <v>Montag</v>
      </c>
      <c r="C41" s="157">
        <v>0.35416666666666669</v>
      </c>
      <c r="D41" s="157">
        <v>0.70833333333333337</v>
      </c>
      <c r="E41" s="157">
        <v>2.0833333333333332E-2</v>
      </c>
      <c r="F41" s="158">
        <f t="shared" si="2"/>
        <v>0.33333333333333337</v>
      </c>
      <c r="G41" s="159"/>
      <c r="H41" s="160">
        <f t="shared" si="3"/>
        <v>0.33333333333333331</v>
      </c>
      <c r="I41" s="161" t="str">
        <f t="array" ref="I41">IF(AND(F41&gt;H41,OR(AND(OR($B41&lt;&gt;Ref!$A$7,$H$55&gt;0),OR($B41&lt;&gt;Ref!$A$8,$H$56&gt;0)),COUNT(SEARCH(Sonderarbeit,$N41))&gt;=1),ISNONTEXT(C41),C41&lt;&gt;""),F41-H41,"")</f>
        <v/>
      </c>
      <c r="J41" s="162" t="str">
        <f t="array" ref="J41">IF(OR(AND(F41&lt;H41,OR(AND(OR($B41&lt;&gt;Ref!$A$7,$H$55&gt;0),OR($B41&lt;&gt;Ref!$A$8,$H$56&gt;0)),COUNT(SEARCH(Sonderarbeit,$N41))&gt;=1)),C41="Ausgleich"),H41-F41,"")</f>
        <v/>
      </c>
      <c r="K41" s="166" t="str">
        <f>IF(AND(B41=Ref!$A$8,SUM(I35:I41)&lt;SUM(J35:J41)),"-","")</f>
        <v/>
      </c>
      <c r="L41" s="167" t="str">
        <f>IF(B41=Ref!$A$8,ABS(SUM(I35:I41)-SUM(J35:J41)),"")</f>
        <v/>
      </c>
    </row>
    <row r="42" spans="1:14" ht="17.45" customHeight="1" x14ac:dyDescent="0.35">
      <c r="A42" s="155">
        <v>24</v>
      </c>
      <c r="B42" s="156" t="str">
        <f t="shared" si="1"/>
        <v>Dienstag</v>
      </c>
      <c r="C42" s="157">
        <v>0.35416666666666669</v>
      </c>
      <c r="D42" s="157">
        <v>0.70833333333333337</v>
      </c>
      <c r="E42" s="157">
        <v>2.0833333333333332E-2</v>
      </c>
      <c r="F42" s="158">
        <f t="shared" si="2"/>
        <v>0.33333333333333337</v>
      </c>
      <c r="G42" s="159"/>
      <c r="H42" s="160">
        <f t="shared" si="3"/>
        <v>0.33333333333333331</v>
      </c>
      <c r="I42" s="161" t="str">
        <f t="array" ref="I42">IF(AND(F42&gt;H42,OR(AND(OR($B42&lt;&gt;Ref!$A$7,$H$55&gt;0),OR($B42&lt;&gt;Ref!$A$8,$H$56&gt;0)),COUNT(SEARCH(Sonderarbeit,$N42))&gt;=1),ISNONTEXT(C42),C42&lt;&gt;""),F42-H42,"")</f>
        <v/>
      </c>
      <c r="J42" s="162" t="str">
        <f t="array" ref="J42">IF(OR(AND(F42&lt;H42,OR(AND(OR($B42&lt;&gt;Ref!$A$7,$H$55&gt;0),OR($B42&lt;&gt;Ref!$A$8,$H$56&gt;0)),COUNT(SEARCH(Sonderarbeit,$N42))&gt;=1)),C42="Ausgleich"),H42-F42,"")</f>
        <v/>
      </c>
      <c r="K42" s="166" t="str">
        <f>IF(AND(B42=Ref!$A$8,SUM(I36:I42)&lt;SUM(J36:J42)),"-","")</f>
        <v/>
      </c>
      <c r="L42" s="167" t="str">
        <f>IF(B42=Ref!$A$8,ABS(SUM(I36:I42)-SUM(J36:J42)),"")</f>
        <v/>
      </c>
    </row>
    <row r="43" spans="1:14" ht="17.45" customHeight="1" x14ac:dyDescent="0.35">
      <c r="A43" s="155">
        <v>25</v>
      </c>
      <c r="B43" s="156" t="str">
        <f t="shared" si="1"/>
        <v>Mittwoch</v>
      </c>
      <c r="C43" s="157">
        <v>0.35416666666666669</v>
      </c>
      <c r="D43" s="157">
        <v>0.70833333333333337</v>
      </c>
      <c r="E43" s="157">
        <v>2.0833333333333332E-2</v>
      </c>
      <c r="F43" s="158">
        <f t="shared" si="2"/>
        <v>0.33333333333333337</v>
      </c>
      <c r="G43" s="159"/>
      <c r="H43" s="160">
        <f t="shared" si="3"/>
        <v>0.33333333333333331</v>
      </c>
      <c r="I43" s="161" t="str">
        <f t="array" ref="I43">IF(AND(F43&gt;H43,OR(AND(OR($B43&lt;&gt;Ref!$A$7,$H$55&gt;0),OR($B43&lt;&gt;Ref!$A$8,$H$56&gt;0)),COUNT(SEARCH(Sonderarbeit,$N43))&gt;=1),ISNONTEXT(C43),C43&lt;&gt;""),F43-H43,"")</f>
        <v/>
      </c>
      <c r="J43" s="162" t="str">
        <f t="array" ref="J43">IF(OR(AND(F43&lt;H43,OR(AND(OR($B43&lt;&gt;Ref!$A$7,$H$55&gt;0),OR($B43&lt;&gt;Ref!$A$8,$H$56&gt;0)),COUNT(SEARCH(Sonderarbeit,$N43))&gt;=1)),C43="Ausgleich"),H43-F43,"")</f>
        <v/>
      </c>
      <c r="K43" s="166" t="str">
        <f>IF(AND(B43=Ref!$A$8,SUM(I37:I43)&lt;SUM(J37:J43)),"-","")</f>
        <v/>
      </c>
      <c r="L43" s="167" t="str">
        <f>IF(B43=Ref!$A$8,ABS(SUM(I37:I43)-SUM(J37:J43)),"")</f>
        <v/>
      </c>
    </row>
    <row r="44" spans="1:14" ht="17.45" customHeight="1" x14ac:dyDescent="0.35">
      <c r="A44" s="155">
        <v>26</v>
      </c>
      <c r="B44" s="156" t="str">
        <f t="shared" si="1"/>
        <v>Donnerstag</v>
      </c>
      <c r="C44" s="157">
        <v>0.35416666666666669</v>
      </c>
      <c r="D44" s="157">
        <v>0.70833333333333337</v>
      </c>
      <c r="E44" s="157">
        <v>2.0833333333333332E-2</v>
      </c>
      <c r="F44" s="158">
        <f t="shared" si="2"/>
        <v>0.33333333333333337</v>
      </c>
      <c r="G44" s="159"/>
      <c r="H44" s="160">
        <f t="shared" si="3"/>
        <v>0.33333333333333331</v>
      </c>
      <c r="I44" s="161" t="str">
        <f t="array" ref="I44">IF(AND(F44&gt;H44,OR(AND(OR($B44&lt;&gt;Ref!$A$7,$H$55&gt;0),OR($B44&lt;&gt;Ref!$A$8,$H$56&gt;0)),COUNT(SEARCH(Sonderarbeit,$N44))&gt;=1),ISNONTEXT(C44),C44&lt;&gt;""),F44-H44,"")</f>
        <v/>
      </c>
      <c r="J44" s="162" t="str">
        <f t="array" ref="J44">IF(OR(AND(F44&lt;H44,OR(AND(OR($B44&lt;&gt;Ref!$A$7,$H$55&gt;0),OR($B44&lt;&gt;Ref!$A$8,$H$56&gt;0)),COUNT(SEARCH(Sonderarbeit,$N44))&gt;=1)),C44="Ausgleich"),H44-F44,"")</f>
        <v/>
      </c>
      <c r="K44" s="166" t="str">
        <f>IF(AND(B44=Ref!$A$8,SUM(I38:I44)&lt;SUM(J38:J44)),"-","")</f>
        <v/>
      </c>
      <c r="L44" s="167" t="str">
        <f>IF(B44=Ref!$A$8,ABS(SUM(I38:I44)-SUM(J38:J44)),"")</f>
        <v/>
      </c>
    </row>
    <row r="45" spans="1:14" ht="17.45" customHeight="1" x14ac:dyDescent="0.35">
      <c r="A45" s="155">
        <v>27</v>
      </c>
      <c r="B45" s="156" t="str">
        <f t="shared" si="1"/>
        <v>Freitag</v>
      </c>
      <c r="C45" s="157">
        <v>0.35416666666666669</v>
      </c>
      <c r="D45" s="157">
        <v>0.70833333333333337</v>
      </c>
      <c r="E45" s="157">
        <v>2.0833333333333332E-2</v>
      </c>
      <c r="F45" s="158">
        <f t="shared" si="2"/>
        <v>0.33333333333333337</v>
      </c>
      <c r="G45" s="159"/>
      <c r="H45" s="160">
        <f t="shared" si="3"/>
        <v>0.3125</v>
      </c>
      <c r="I45" s="161">
        <f t="array" ref="I45">IF(AND(F45&gt;H45,OR(AND(OR($B45&lt;&gt;Ref!$A$7,$H$55&gt;0),OR($B45&lt;&gt;Ref!$A$8,$H$56&gt;0)),COUNT(SEARCH(Sonderarbeit,$N45))&gt;=1),ISNONTEXT(C45),C45&lt;&gt;""),F45-H45,"")</f>
        <v>2.083333333333337E-2</v>
      </c>
      <c r="J45" s="162" t="str">
        <f t="array" ref="J45">IF(OR(AND(F45&lt;H45,OR(AND(OR($B45&lt;&gt;Ref!$A$7,$H$55&gt;0),OR($B45&lt;&gt;Ref!$A$8,$H$56&gt;0)),COUNT(SEARCH(Sonderarbeit,$N45))&gt;=1)),C45="Ausgleich"),H45-F45,"")</f>
        <v/>
      </c>
      <c r="K45" s="166" t="str">
        <f>IF(AND(B45=Ref!$A$8,SUM(I39:I45)&lt;SUM(J39:J45)),"-","")</f>
        <v/>
      </c>
      <c r="L45" s="167" t="str">
        <f>IF(B45=Ref!$A$8,ABS(SUM(I39:I45)-SUM(J39:J45)),"")</f>
        <v/>
      </c>
    </row>
    <row r="46" spans="1:14" ht="17.45" customHeight="1" x14ac:dyDescent="0.35">
      <c r="A46" s="155">
        <v>28</v>
      </c>
      <c r="B46" s="156" t="str">
        <f t="shared" si="1"/>
        <v>Samstag</v>
      </c>
      <c r="C46" s="157">
        <v>0.35416666666666669</v>
      </c>
      <c r="D46" s="157">
        <v>0.70833333333333337</v>
      </c>
      <c r="E46" s="157">
        <v>2.0833333333333332E-2</v>
      </c>
      <c r="F46" s="158">
        <f t="shared" si="2"/>
        <v>0.33333333333333337</v>
      </c>
      <c r="G46" s="159"/>
      <c r="H46" s="160">
        <f t="shared" si="3"/>
        <v>0</v>
      </c>
      <c r="I46" s="161" t="str">
        <f t="array" ref="I46">IF(AND(F46&gt;H46,OR(AND(OR($B46&lt;&gt;Ref!$A$7,$H$55&gt;0),OR($B46&lt;&gt;Ref!$A$8,$H$56&gt;0)),COUNT(SEARCH(Sonderarbeit,$N46))&gt;=1),ISNONTEXT(C46),C46&lt;&gt;""),F46-H46,"")</f>
        <v/>
      </c>
      <c r="J46" s="162" t="str">
        <f t="array" ref="J46">IF(OR(AND(F46&lt;H46,OR(AND(OR($B46&lt;&gt;Ref!$A$7,$H$55&gt;0),OR($B46&lt;&gt;Ref!$A$8,$H$56&gt;0)),COUNT(SEARCH(Sonderarbeit,$N46))&gt;=1)),C46="Ausgleich"),H46-F46,"")</f>
        <v/>
      </c>
      <c r="K46" s="166" t="str">
        <f>IF(AND(B46=Ref!$A$8,SUM(I40:I46)&lt;SUM(J40:J46)),"-","")</f>
        <v/>
      </c>
      <c r="L46" s="167" t="str">
        <f>IF(B46=Ref!$A$8,ABS(SUM(I40:I46)-SUM(J40:J46)),"")</f>
        <v/>
      </c>
    </row>
    <row r="47" spans="1:14" ht="17.45" customHeight="1" x14ac:dyDescent="0.35">
      <c r="A47" s="155">
        <v>29</v>
      </c>
      <c r="B47" s="156" t="str">
        <f t="shared" si="1"/>
        <v>Sonntag</v>
      </c>
      <c r="C47" s="157">
        <v>0.35416666666666669</v>
      </c>
      <c r="D47" s="157">
        <v>0.70833333333333337</v>
      </c>
      <c r="E47" s="157">
        <v>2.0833333333333332E-2</v>
      </c>
      <c r="F47" s="158">
        <f t="shared" si="2"/>
        <v>0.33333333333333337</v>
      </c>
      <c r="G47" s="159"/>
      <c r="H47" s="160">
        <f t="shared" si="3"/>
        <v>0</v>
      </c>
      <c r="I47" s="161" t="str">
        <f t="array" ref="I47">IF(AND(F47&gt;H47,OR(AND(OR($B47&lt;&gt;Ref!$A$7,$H$55&gt;0),OR($B47&lt;&gt;Ref!$A$8,$H$56&gt;0)),COUNT(SEARCH(Sonderarbeit,$N47))&gt;=1),ISNONTEXT(C47),C47&lt;&gt;""),F47-H47,"")</f>
        <v/>
      </c>
      <c r="J47" s="162" t="str">
        <f t="array" ref="J47">IF(OR(AND(F47&lt;H47,OR(AND(OR($B47&lt;&gt;Ref!$A$7,$H$55&gt;0),OR($B47&lt;&gt;Ref!$A$8,$H$56&gt;0)),COUNT(SEARCH(Sonderarbeit,$N47))&gt;=1)),C47="Ausgleich"),H47-F47,"")</f>
        <v/>
      </c>
      <c r="K47" s="166" t="str">
        <f>IF(AND(B47=Ref!$A$8,SUM(I41:I47)&lt;SUM(J41:J47)),"-","")</f>
        <v/>
      </c>
      <c r="L47" s="167">
        <f>IF(B47=Ref!$A$8,ABS(SUM(I41:I47)-SUM(J41:J47)),"")</f>
        <v>2.083333333333337E-2</v>
      </c>
    </row>
    <row r="48" spans="1:14" ht="17.45" customHeight="1" x14ac:dyDescent="0.35">
      <c r="A48" s="155">
        <v>30</v>
      </c>
      <c r="B48" s="156" t="str">
        <f t="shared" si="1"/>
        <v>Montag</v>
      </c>
      <c r="C48" s="157">
        <v>0.35416666666666669</v>
      </c>
      <c r="D48" s="157">
        <v>0.70833333333333337</v>
      </c>
      <c r="E48" s="157">
        <v>2.0833333333333332E-2</v>
      </c>
      <c r="F48" s="158">
        <f t="shared" si="2"/>
        <v>0.33333333333333337</v>
      </c>
      <c r="G48" s="159"/>
      <c r="H48" s="160">
        <f t="shared" si="3"/>
        <v>0.33333333333333331</v>
      </c>
      <c r="I48" s="161" t="str">
        <f t="array" ref="I48">IF(AND(F48&gt;H48,OR(AND(OR($B48&lt;&gt;Ref!$A$7,$H$55&gt;0),OR($B48&lt;&gt;Ref!$A$8,$H$56&gt;0)),COUNT(SEARCH(Sonderarbeit,$N48))&gt;=1),ISNONTEXT(C48),C48&lt;&gt;""),F48-H48,"")</f>
        <v/>
      </c>
      <c r="J48" s="162" t="str">
        <f t="array" ref="J48">IF(OR(AND(F48&lt;H48,OR(AND(OR($B48&lt;&gt;Ref!$A$7,$H$55&gt;0),OR($B48&lt;&gt;Ref!$A$8,$H$56&gt;0)),COUNT(SEARCH(Sonderarbeit,$N48))&gt;=1)),C48="Ausgleich"),H48-F48,"")</f>
        <v/>
      </c>
      <c r="K48" s="218" t="str">
        <f ca="1">IF(SUM(INDIRECT("I"&amp;ROW()-WEEKDAY(DATE(J$11,MONTH(I$11),A48),3)):I48) &lt; SUM(INDIRECT("j"&amp;ROW()-WEEKDAY(DATE(J$11,MONTH(I$11),A48),3)):J48),"-","")</f>
        <v/>
      </c>
      <c r="L48" s="219">
        <f ca="1">ABS(SUM(INDIRECT("I"&amp;ROW()-WEEKDAY(DATE(J$11,MONTH(I$11),A48),3)):I48)-SUM(INDIRECT("j"&amp;ROW()-WEEKDAY(DATE(J$11,MONTH(I$11),A48))):J48))</f>
        <v>0</v>
      </c>
    </row>
    <row r="49" spans="1:14" s="183" customFormat="1" ht="17.45" customHeight="1" thickBot="1" x14ac:dyDescent="0.25">
      <c r="A49" s="175" t="str">
        <f>Jan!A50</f>
        <v>Sonstige Zeiten laut beigefügter Aufstellung (s. Anlage):</v>
      </c>
      <c r="B49" s="176"/>
      <c r="C49" s="177"/>
      <c r="D49" s="178"/>
      <c r="E49" s="178"/>
      <c r="F49" s="178"/>
      <c r="G49" s="178"/>
      <c r="H49" s="179"/>
      <c r="I49" s="259">
        <v>0</v>
      </c>
      <c r="J49" s="260">
        <v>0</v>
      </c>
      <c r="K49" s="261"/>
      <c r="L49" s="262"/>
      <c r="M49" s="294"/>
      <c r="N49" s="100"/>
    </row>
    <row r="50" spans="1:14" ht="12.6" customHeight="1" x14ac:dyDescent="0.2">
      <c r="A50" s="263" t="s">
        <v>3</v>
      </c>
      <c r="B50" s="263"/>
      <c r="C50" s="263"/>
      <c r="D50" s="263"/>
      <c r="H50" s="280">
        <f>Okt!H51</f>
        <v>0.33333333333333331</v>
      </c>
      <c r="I50" s="185">
        <f>SUM(I17:I49)</f>
        <v>1.9583333333333375</v>
      </c>
      <c r="J50" s="186">
        <f>SUM(J17:J49)</f>
        <v>0.33333333333333331</v>
      </c>
      <c r="K50" s="187" t="str">
        <f ca="1">IF(SUMIF(K19:K49,"",L19:L49)&lt;SUMIF(K19:K49,"-",L19:L49),"-","")</f>
        <v/>
      </c>
      <c r="L50" s="188">
        <f ca="1">ABS(SUMIF(K19:K49,"",L19:L49)-SUMIF(K19:K49,"-",L19:L49))</f>
        <v>8.3333333333333537E-2</v>
      </c>
    </row>
    <row r="51" spans="1:14" ht="13.5" thickBot="1" x14ac:dyDescent="0.25">
      <c r="A51" s="189"/>
      <c r="B51" s="189"/>
      <c r="C51" s="189"/>
      <c r="D51" s="189"/>
      <c r="G51" s="190" t="s">
        <v>12</v>
      </c>
      <c r="H51" s="281">
        <f>Okt!H52</f>
        <v>0.33333333333333331</v>
      </c>
      <c r="I51" s="191"/>
      <c r="J51" s="192"/>
      <c r="K51" s="193"/>
      <c r="L51" s="194"/>
    </row>
    <row r="52" spans="1:14" x14ac:dyDescent="0.2">
      <c r="A52" s="189"/>
      <c r="B52" s="189"/>
      <c r="C52" s="189"/>
      <c r="D52" s="189"/>
      <c r="G52" s="195"/>
      <c r="H52" s="281">
        <f>Okt!H53</f>
        <v>0.33333333333333331</v>
      </c>
      <c r="I52" s="196">
        <f>IF(I50&gt;J50,I50-J50,0)</f>
        <v>1.6250000000000042</v>
      </c>
      <c r="J52" s="197" t="str">
        <f>IF(J50&gt;I50,J50-I50,"")</f>
        <v/>
      </c>
      <c r="K52" s="204"/>
      <c r="L52" s="204"/>
    </row>
    <row r="53" spans="1:14" ht="13.5" thickBot="1" x14ac:dyDescent="0.25">
      <c r="A53" s="199" t="s">
        <v>15</v>
      </c>
      <c r="B53" s="199"/>
      <c r="C53" s="199"/>
      <c r="D53" s="199"/>
      <c r="E53" s="200"/>
      <c r="F53" s="200"/>
      <c r="G53" s="190" t="s">
        <v>13</v>
      </c>
      <c r="H53" s="281">
        <f>Okt!H54</f>
        <v>0.33333333333333331</v>
      </c>
      <c r="I53" s="201"/>
      <c r="J53" s="202"/>
      <c r="K53" s="204"/>
      <c r="L53" s="204"/>
    </row>
    <row r="54" spans="1:14" ht="13.5" thickBot="1" x14ac:dyDescent="0.25">
      <c r="A54" s="203" t="s">
        <v>4</v>
      </c>
      <c r="B54" s="203"/>
      <c r="C54" s="203"/>
      <c r="D54" s="203"/>
      <c r="E54" s="200"/>
      <c r="F54" s="200"/>
      <c r="G54" s="200"/>
      <c r="H54" s="281">
        <f>Okt!H55</f>
        <v>0.3125</v>
      </c>
      <c r="I54" s="200"/>
      <c r="J54" s="200"/>
      <c r="K54" s="204"/>
      <c r="L54" s="204"/>
    </row>
    <row r="55" spans="1:14" ht="13.35" customHeight="1" x14ac:dyDescent="0.2">
      <c r="A55" s="189"/>
      <c r="B55" s="189"/>
      <c r="C55" s="189"/>
      <c r="D55" s="189"/>
      <c r="E55" s="271" t="str">
        <f>Jan!E56</f>
        <v xml:space="preserve"> </v>
      </c>
      <c r="F55" s="206"/>
      <c r="G55" s="207" t="str">
        <f>IF(E55=" ", " ", IF(Mantelbogen!D26=I11,Mantelbogen!C29,Okt!G58))</f>
        <v xml:space="preserve"> </v>
      </c>
      <c r="H55" s="282">
        <v>0</v>
      </c>
      <c r="I55" s="223" t="s">
        <v>144</v>
      </c>
      <c r="J55" s="224"/>
      <c r="K55" s="204"/>
      <c r="L55" s="204"/>
    </row>
    <row r="56" spans="1:14" ht="13.5" thickBot="1" x14ac:dyDescent="0.25">
      <c r="A56" s="189"/>
      <c r="B56" s="189"/>
      <c r="C56" s="189"/>
      <c r="D56" s="189"/>
      <c r="E56" s="271" t="str">
        <f>Jan!E57</f>
        <v xml:space="preserve"> </v>
      </c>
      <c r="F56" s="207"/>
      <c r="G56" s="207" t="str">
        <f>IF(E55=" ", " ", -COUNTIF(C19:C48, "Urlaub*" ))</f>
        <v xml:space="preserve"> </v>
      </c>
      <c r="H56" s="283">
        <v>0</v>
      </c>
      <c r="I56" s="225"/>
      <c r="J56" s="226"/>
      <c r="K56" s="204"/>
      <c r="L56" s="204"/>
    </row>
    <row r="57" spans="1:14" ht="24.6" customHeight="1" thickBot="1" x14ac:dyDescent="0.25">
      <c r="A57" s="199" t="s">
        <v>10</v>
      </c>
      <c r="B57" s="199"/>
      <c r="C57" s="199"/>
      <c r="D57" s="199"/>
      <c r="E57" s="276" t="str">
        <f>Jan!E58</f>
        <v xml:space="preserve"> </v>
      </c>
      <c r="F57" s="277"/>
      <c r="G57" s="211" t="str">
        <f>IF(E55=" ", " ", IF(Mantelbogen!C29 &gt; 0.0001, G55+G56, 0))</f>
        <v xml:space="preserve"> </v>
      </c>
      <c r="H57" s="287">
        <f>SUM(H50:H56)</f>
        <v>1.6458333333333333</v>
      </c>
      <c r="I57" s="227"/>
      <c r="J57" s="228"/>
      <c r="L57" s="212" t="str">
        <f>Mantelbogen!D50</f>
        <v>15.12.2025  HAdW / G. Wolff</v>
      </c>
    </row>
    <row r="59" spans="1:14" x14ac:dyDescent="0.2">
      <c r="G59" s="214"/>
      <c r="H59" s="214"/>
      <c r="I59" s="214"/>
      <c r="J59" s="207"/>
    </row>
    <row r="60" spans="1:14" x14ac:dyDescent="0.2">
      <c r="G60" s="207"/>
      <c r="H60" s="207"/>
      <c r="I60" s="207"/>
      <c r="J60" s="207"/>
    </row>
    <row r="61" spans="1:14" x14ac:dyDescent="0.2">
      <c r="G61" s="207"/>
      <c r="H61" s="207"/>
    </row>
  </sheetData>
  <sheetProtection algorithmName="SHA-512" hashValue="nFxnd/9vQHufvDn+TjSoPTIfJpG38vZsZitt4+M+vgUCSl2av4Ad4ZIOiM20kSEsYra7GYTKXIp/fymINQRtRQ==" saltValue="wjh69i7L3KnMOqmZoWxZYg==" spinCount="100000" sheet="1" objects="1" scenarios="1"/>
  <mergeCells count="62">
    <mergeCell ref="A1:F2"/>
    <mergeCell ref="A3:F3"/>
    <mergeCell ref="A4:F6"/>
    <mergeCell ref="J52:J53"/>
    <mergeCell ref="I52:I53"/>
    <mergeCell ref="A50:D50"/>
    <mergeCell ref="I50:I51"/>
    <mergeCell ref="J50:J51"/>
    <mergeCell ref="A51:D52"/>
    <mergeCell ref="A53:D53"/>
    <mergeCell ref="F44:G44"/>
    <mergeCell ref="F45:G45"/>
    <mergeCell ref="F46:G46"/>
    <mergeCell ref="F47:G47"/>
    <mergeCell ref="F48:G48"/>
    <mergeCell ref="F43:G43"/>
    <mergeCell ref="F32:G32"/>
    <mergeCell ref="G59:I59"/>
    <mergeCell ref="A54:D54"/>
    <mergeCell ref="A55:D56"/>
    <mergeCell ref="I55:J57"/>
    <mergeCell ref="A57:D57"/>
    <mergeCell ref="F33:G33"/>
    <mergeCell ref="F34:G34"/>
    <mergeCell ref="F35:G35"/>
    <mergeCell ref="F36:G36"/>
    <mergeCell ref="F37:G37"/>
    <mergeCell ref="F38:G38"/>
    <mergeCell ref="F39:G39"/>
    <mergeCell ref="F40:G40"/>
    <mergeCell ref="F41:G41"/>
    <mergeCell ref="F42:G42"/>
    <mergeCell ref="F21:G21"/>
    <mergeCell ref="F26:G26"/>
    <mergeCell ref="F29:G29"/>
    <mergeCell ref="F30:G30"/>
    <mergeCell ref="F31:G31"/>
    <mergeCell ref="F27:G27"/>
    <mergeCell ref="F28:G28"/>
    <mergeCell ref="K50:K51"/>
    <mergeCell ref="K15:L16"/>
    <mergeCell ref="K17:L18"/>
    <mergeCell ref="L50:L51"/>
    <mergeCell ref="G1:J7"/>
    <mergeCell ref="I15:J15"/>
    <mergeCell ref="I17:I18"/>
    <mergeCell ref="J17:J18"/>
    <mergeCell ref="F15:G18"/>
    <mergeCell ref="H15:H18"/>
    <mergeCell ref="F24:G24"/>
    <mergeCell ref="F25:G25"/>
    <mergeCell ref="F20:G20"/>
    <mergeCell ref="F19:G19"/>
    <mergeCell ref="F22:G22"/>
    <mergeCell ref="F23:G23"/>
    <mergeCell ref="A11:B11"/>
    <mergeCell ref="A13:B13"/>
    <mergeCell ref="A15:A18"/>
    <mergeCell ref="B15:B18"/>
    <mergeCell ref="C15:C18"/>
    <mergeCell ref="D15:D18"/>
    <mergeCell ref="E15:E18"/>
  </mergeCells>
  <phoneticPr fontId="0" type="noConversion"/>
  <conditionalFormatting sqref="A19:A48 C19:L48">
    <cfRule type="expression" dxfId="18" priority="1">
      <formula>COUNT(SEARCH(Sonderarbeit,$N19))&gt;=1</formula>
    </cfRule>
  </conditionalFormatting>
  <conditionalFormatting sqref="A19:L48">
    <cfRule type="expression" dxfId="10" priority="5">
      <formula>AND(ISTEXT($C19),$C19&lt;&gt;"Kinderkrankentag",$C19&lt;&gt;"Urlaub",$C19&lt;&gt;"Krank",$C19&lt;&gt;"Ausgleich")</formula>
    </cfRule>
  </conditionalFormatting>
  <conditionalFormatting sqref="C19:C48">
    <cfRule type="expression" dxfId="17" priority="7">
      <formula>ISTEXT($C19)</formula>
    </cfRule>
  </conditionalFormatting>
  <conditionalFormatting sqref="D19:H48">
    <cfRule type="expression" dxfId="15" priority="4">
      <formula>AND(ISTEXT($C19),OR($C19="Kinderkrankentag",$C19="Urlaub",$C19="Krank",$C19="Ausgleich"))</formula>
    </cfRule>
  </conditionalFormatting>
  <conditionalFormatting sqref="D19:J48">
    <cfRule type="expression" dxfId="11" priority="3">
      <formula>AND(ISTEXT($C19),$C19&lt;&gt;"Kinderkrankentag",$C19&lt;&gt;"Urlaub",$C19&lt;&gt;"Krank",$C19&lt;&gt;"Ausgleich")</formula>
    </cfRule>
  </conditionalFormatting>
  <conditionalFormatting sqref="F19:F48">
    <cfRule type="expression" dxfId="13" priority="11">
      <formula>AND(ISNONTEXT($C19),$F19 &gt; 0.666667)</formula>
    </cfRule>
  </conditionalFormatting>
  <dataValidations count="1">
    <dataValidation type="custom" errorStyle="warning" allowBlank="1" showErrorMessage="1" errorTitle="Samstagsarbeit" error="Tragen Sie hier bitte nur etwas ein, wenn Sie tatsächlich REGELMÄßIG und angeordnet Samstag arbeiten. Ansonsten tragen Sie bitte am entsprechenden Tag in Spalte N „Samstagsarbeit“ ein und der entsprechende Tag wird verfügbar." promptTitle="Samstagsarbeit" prompt="Tragen Sie hier bitte nur etwas ein, wenn Sie tatsächlich REGELMÄßIG und angeordnet Samstag arbeiten. Ansonsten tragen Sie bitte am entsprechenden Tag in Spalte N „Samstagsarbeit“ ein und der entsprechende Tag wird verfügbar." sqref="H55" xr:uid="{791649BB-64C0-4CB1-BAE0-2F1FD4855579}">
      <formula1>$A$4="Arbeitszeitblatt"</formula1>
    </dataValidation>
  </dataValidations>
  <printOptions horizontalCentered="1" verticalCentered="1"/>
  <pageMargins left="1.0236220472440944" right="0.23622047244094491" top="0.15748031496062992" bottom="0.19685039370078741" header="0.15748031496062992" footer="0.15748031496062992"/>
  <pageSetup paperSize="9" scale="82" orientation="portrait" horizontalDpi="1200" verticalDpi="1200"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 id="{22F98AA3-035B-4A77-AD2E-AAAD812FFCBE}">
            <xm:f>OR(AND($B19=Ref!$A$7,$H$55=0), AND($B19=Ref!$A$8,$H$56=0), NOT( ISERROR(FIND("feiertag",LOWER($C19)) ) ) )</xm:f>
            <x14:dxf>
              <fill>
                <patternFill patternType="solid">
                  <bgColor theme="4" tint="0.79998168889431442"/>
                </patternFill>
              </fill>
            </x14:dxf>
          </x14:cfRule>
          <xm:sqref>A19:L48</xm:sqref>
        </x14:conditionalFormatting>
        <x14:conditionalFormatting xmlns:xm="http://schemas.microsoft.com/office/excel/2006/main">
          <x14:cfRule type="expression" priority="10" id="{FD908C18-A020-4A52-8DB8-808E573BA558}">
            <xm:f>AND($B19=Ref!$A$8, $H$56&gt;0.00001)</xm:f>
            <x14:dxf>
              <font>
                <b val="0"/>
                <i val="0"/>
                <color theme="1"/>
              </font>
            </x14:dxf>
          </x14:cfRule>
          <xm:sqref>C19:C48</xm:sqref>
        </x14:conditionalFormatting>
        <x14:conditionalFormatting xmlns:xm="http://schemas.microsoft.com/office/excel/2006/main">
          <x14:cfRule type="expression" priority="8" id="{FC65723C-2704-4A8D-8ABC-9CC719944E36}">
            <xm:f>OR(AND($B19=Ref!$A$7, $H$55&lt;0.00001),AND($B19=Ref!$A$8, $H$56&lt;0.00001))</xm:f>
            <x14:dxf>
              <font>
                <color theme="4" tint="0.79998168889431442"/>
              </font>
              <fill>
                <patternFill>
                  <bgColor theme="4" tint="0.79998168889431442"/>
                </patternFill>
              </fill>
            </x14:dxf>
          </x14:cfRule>
          <xm:sqref>C19:J48</xm:sqref>
        </x14:conditionalFormatting>
        <x14:conditionalFormatting xmlns:xm="http://schemas.microsoft.com/office/excel/2006/main">
          <x14:cfRule type="expression" priority="2" id="{EF3FCEFC-FF49-4CE6-B509-D0A47E2E9AAB}">
            <xm:f>AND(OR(AND($F19 &gt; 0.250001, $E19 &lt; 0.020833332), AND($F19 &gt; 0.375, $E19 &lt; 0.03124999)  ),OR(AND($B4&lt;&gt;Ref!$A$7, $B4&lt;&gt;Ref!$A$8),COUNT(SEARCH(Sonderarbeit,$N19))&gt;=1),ISNUMBER($C19))</xm:f>
            <x14:dxf>
              <fill>
                <patternFill>
                  <bgColor rgb="FFFF0000"/>
                </patternFill>
              </fill>
            </x14:dxf>
          </x14:cfRule>
          <xm:sqref>E19:E48</xm:sqref>
        </x14:conditionalFormatting>
        <x14:conditionalFormatting xmlns:xm="http://schemas.microsoft.com/office/excel/2006/main">
          <x14:cfRule type="expression" priority="9" id="{5896FD15-792B-46B8-98A2-9BBFD941D1FE}">
            <xm:f>AND($B19=Ref!$A$7, $H$55&gt;0.00001)</xm:f>
            <x14:dxf>
              <font>
                <b val="0"/>
                <i val="0"/>
                <color theme="1"/>
              </font>
            </x14:dxf>
          </x14:cfRule>
          <xm:sqref>F19:G48</xm:sqref>
        </x14:conditionalFormatting>
      </x14:conditionalFormattings>
    </ext>
    <ext xmlns:x14="http://schemas.microsoft.com/office/spreadsheetml/2009/9/main" uri="{CCE6A557-97BC-4b89-ADB6-D9C93CAAB3DF}">
      <x14:dataValidations xmlns:xm="http://schemas.microsoft.com/office/excel/2006/main" count="1">
        <x14:dataValidation type="custom" errorStyle="information" allowBlank="1" showInputMessage="1" showErrorMessage="1" errorTitle="Samstagsarbeit" error="Tragen Sie hier bitte nur die tasächlich angefallene Arbeit ein. Tragen Sie ggf. anfallende Zuschläge auf ein separates Tabellenblatt ein und übertragen diese in das Kästchen I49." xr:uid="{7EAF1E9C-0434-43E2-9CDC-8AF2C1FC4557}">
          <x14:formula1>
            <xm:f>NOT(OFFSET(C19,0,2-COLUMN(C19))=Ref!$A$7)</xm:f>
          </x14:formula1>
          <xm:sqref>C19:E48</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pageSetUpPr fitToPage="1"/>
  </sheetPr>
  <dimension ref="A1:N60"/>
  <sheetViews>
    <sheetView zoomScaleNormal="100" workbookViewId="0">
      <selection sqref="A1:F2"/>
    </sheetView>
  </sheetViews>
  <sheetFormatPr defaultColWidth="11.5703125" defaultRowHeight="12.75" x14ac:dyDescent="0.2"/>
  <cols>
    <col min="1" max="1" width="5.5703125" style="125" customWidth="1"/>
    <col min="2" max="2" width="9.85546875" style="102" bestFit="1" customWidth="1"/>
    <col min="3" max="3" width="15.7109375" style="102" bestFit="1" customWidth="1"/>
    <col min="4" max="4" width="13.7109375" style="102" bestFit="1" customWidth="1"/>
    <col min="5" max="5" width="11.28515625" style="98" customWidth="1"/>
    <col min="6" max="6" width="7.85546875" style="98" customWidth="1"/>
    <col min="7" max="7" width="3.5703125" style="98" customWidth="1"/>
    <col min="8" max="8" width="14.140625" style="98" bestFit="1" customWidth="1"/>
    <col min="9" max="9" width="11" style="98" bestFit="1" customWidth="1"/>
    <col min="10" max="10" width="12.140625" style="98" bestFit="1" customWidth="1"/>
    <col min="11" max="11" width="2.85546875" style="98" customWidth="1"/>
    <col min="12" max="12" width="8.85546875" style="98" customWidth="1"/>
    <col min="13" max="13" width="16.42578125" style="99" customWidth="1"/>
    <col min="14" max="14" width="19.42578125" style="100" bestFit="1" customWidth="1"/>
    <col min="15" max="16384" width="11.5703125" style="98"/>
  </cols>
  <sheetData>
    <row r="1" spans="1:14" ht="15" customHeight="1" x14ac:dyDescent="0.2">
      <c r="A1" s="215" t="s">
        <v>48</v>
      </c>
      <c r="B1" s="215"/>
      <c r="C1" s="215"/>
      <c r="D1" s="215"/>
      <c r="E1" s="215"/>
      <c r="F1" s="215"/>
      <c r="G1" s="97" t="s">
        <v>9</v>
      </c>
      <c r="H1" s="97"/>
      <c r="I1" s="97"/>
      <c r="J1" s="97"/>
    </row>
    <row r="2" spans="1:14" ht="15" customHeight="1" x14ac:dyDescent="0.2">
      <c r="A2" s="215"/>
      <c r="B2" s="215"/>
      <c r="C2" s="215"/>
      <c r="D2" s="215"/>
      <c r="E2" s="215"/>
      <c r="F2" s="215"/>
      <c r="G2" s="97"/>
      <c r="H2" s="97"/>
      <c r="I2" s="97"/>
      <c r="J2" s="97"/>
    </row>
    <row r="3" spans="1:14" x14ac:dyDescent="0.2">
      <c r="A3" s="216" t="s">
        <v>11</v>
      </c>
      <c r="B3" s="216"/>
      <c r="C3" s="216"/>
      <c r="D3" s="216"/>
      <c r="E3" s="216"/>
      <c r="F3" s="216"/>
      <c r="G3" s="97"/>
      <c r="H3" s="97"/>
      <c r="I3" s="97"/>
      <c r="J3" s="97"/>
    </row>
    <row r="4" spans="1:14" ht="13.35" customHeight="1" x14ac:dyDescent="0.2">
      <c r="A4" s="217" t="s">
        <v>5</v>
      </c>
      <c r="B4" s="217"/>
      <c r="C4" s="217"/>
      <c r="D4" s="217"/>
      <c r="E4" s="217"/>
      <c r="F4" s="217"/>
      <c r="G4" s="97"/>
      <c r="H4" s="97"/>
      <c r="I4" s="97"/>
      <c r="J4" s="97"/>
    </row>
    <row r="5" spans="1:14" ht="6" customHeight="1" x14ac:dyDescent="0.2">
      <c r="A5" s="217"/>
      <c r="B5" s="217"/>
      <c r="C5" s="217"/>
      <c r="D5" s="217"/>
      <c r="E5" s="217"/>
      <c r="F5" s="217"/>
      <c r="G5" s="97"/>
      <c r="H5" s="97"/>
      <c r="I5" s="97"/>
      <c r="J5" s="97"/>
    </row>
    <row r="6" spans="1:14" ht="13.35" customHeight="1" x14ac:dyDescent="0.2">
      <c r="A6" s="217"/>
      <c r="B6" s="217"/>
      <c r="C6" s="217"/>
      <c r="D6" s="217"/>
      <c r="E6" s="217"/>
      <c r="F6" s="217"/>
      <c r="G6" s="97"/>
      <c r="H6" s="97"/>
      <c r="I6" s="97"/>
      <c r="J6" s="97"/>
    </row>
    <row r="7" spans="1:14" ht="13.35" customHeight="1" x14ac:dyDescent="0.2">
      <c r="A7" s="102"/>
      <c r="B7" s="101"/>
      <c r="C7" s="101"/>
      <c r="D7" s="101"/>
      <c r="E7" s="101"/>
      <c r="F7" s="101"/>
      <c r="G7" s="97"/>
      <c r="H7" s="97"/>
      <c r="I7" s="97"/>
      <c r="J7" s="97"/>
    </row>
    <row r="8" spans="1:14" ht="6" customHeight="1" thickBot="1" x14ac:dyDescent="0.25">
      <c r="A8" s="103"/>
      <c r="B8" s="104"/>
      <c r="C8" s="104"/>
      <c r="D8" s="104"/>
      <c r="E8" s="105"/>
      <c r="F8" s="105"/>
      <c r="G8" s="105"/>
      <c r="H8" s="105"/>
      <c r="I8" s="106"/>
      <c r="J8" s="106"/>
      <c r="K8" s="107"/>
      <c r="L8" s="108"/>
    </row>
    <row r="9" spans="1:14" ht="6" customHeight="1" x14ac:dyDescent="0.2">
      <c r="A9" s="109"/>
      <c r="B9" s="110"/>
      <c r="C9" s="110"/>
      <c r="D9" s="110"/>
      <c r="E9" s="111"/>
      <c r="F9" s="111"/>
      <c r="G9" s="111"/>
      <c r="H9" s="111"/>
      <c r="I9" s="112"/>
      <c r="J9" s="112"/>
      <c r="K9" s="113"/>
      <c r="L9" s="114"/>
    </row>
    <row r="10" spans="1:14" x14ac:dyDescent="0.2">
      <c r="A10" s="109"/>
      <c r="B10" s="110"/>
      <c r="C10" s="110"/>
      <c r="D10" s="110"/>
      <c r="E10" s="111"/>
      <c r="F10" s="111"/>
      <c r="G10" s="111"/>
      <c r="I10" s="112"/>
      <c r="J10" s="112"/>
      <c r="K10" s="113"/>
      <c r="L10" s="114"/>
    </row>
    <row r="11" spans="1:14" x14ac:dyDescent="0.2">
      <c r="A11" s="115" t="s">
        <v>6</v>
      </c>
      <c r="B11" s="115"/>
      <c r="C11" s="116" t="str">
        <f>Nov!C11</f>
        <v>ATHENE, Pallas</v>
      </c>
      <c r="D11" s="117"/>
      <c r="E11" s="118"/>
      <c r="F11" s="119"/>
      <c r="G11" s="119" t="s">
        <v>8</v>
      </c>
      <c r="H11" s="120"/>
      <c r="I11" s="121">
        <f>DATE(J11,12,1)</f>
        <v>46357</v>
      </c>
      <c r="J11" s="122">
        <f>Jan!J11</f>
        <v>2026</v>
      </c>
      <c r="K11" s="123"/>
      <c r="L11" s="124"/>
    </row>
    <row r="12" spans="1:14" x14ac:dyDescent="0.2">
      <c r="B12" s="114"/>
      <c r="C12" s="126"/>
      <c r="D12" s="127"/>
      <c r="E12" s="119"/>
      <c r="F12" s="119"/>
      <c r="G12" s="111"/>
      <c r="I12" s="112"/>
      <c r="J12" s="128"/>
      <c r="K12" s="113"/>
      <c r="L12" s="114"/>
    </row>
    <row r="13" spans="1:14" x14ac:dyDescent="0.2">
      <c r="A13" s="115" t="s">
        <v>7</v>
      </c>
      <c r="B13" s="115"/>
      <c r="C13" s="129" t="str">
        <f>Nov!C13</f>
        <v>Geschäftsstelle</v>
      </c>
      <c r="D13" s="130"/>
      <c r="E13" s="118"/>
      <c r="F13" s="131"/>
      <c r="G13" s="131"/>
      <c r="H13" s="120"/>
      <c r="I13" s="117"/>
      <c r="J13" s="118"/>
      <c r="K13" s="123"/>
      <c r="L13" s="124"/>
    </row>
    <row r="14" spans="1:14" ht="13.5" thickBot="1" x14ac:dyDescent="0.25">
      <c r="K14" s="113"/>
      <c r="L14" s="114"/>
    </row>
    <row r="15" spans="1:14" ht="13.35" customHeight="1" x14ac:dyDescent="0.2">
      <c r="A15" s="132"/>
      <c r="B15" s="132" t="s">
        <v>14</v>
      </c>
      <c r="C15" s="132" t="s">
        <v>110</v>
      </c>
      <c r="D15" s="132" t="s">
        <v>145</v>
      </c>
      <c r="E15" s="132" t="s">
        <v>16</v>
      </c>
      <c r="F15" s="133" t="s">
        <v>42</v>
      </c>
      <c r="G15" s="133"/>
      <c r="H15" s="134" t="s">
        <v>43</v>
      </c>
      <c r="I15" s="135" t="s">
        <v>0</v>
      </c>
      <c r="J15" s="136"/>
      <c r="K15" s="137" t="s">
        <v>41</v>
      </c>
      <c r="L15" s="138"/>
      <c r="M15" s="139"/>
      <c r="N15" s="140"/>
    </row>
    <row r="16" spans="1:14" ht="13.5" thickBot="1" x14ac:dyDescent="0.25">
      <c r="A16" s="132"/>
      <c r="B16" s="132"/>
      <c r="C16" s="132"/>
      <c r="D16" s="132"/>
      <c r="E16" s="132"/>
      <c r="F16" s="133"/>
      <c r="G16" s="133"/>
      <c r="H16" s="141"/>
      <c r="I16" s="142" t="s">
        <v>1</v>
      </c>
      <c r="J16" s="143" t="s">
        <v>2</v>
      </c>
      <c r="K16" s="144"/>
      <c r="L16" s="145"/>
      <c r="M16" s="139"/>
      <c r="N16" s="146"/>
    </row>
    <row r="17" spans="1:14" ht="13.5" thickBot="1" x14ac:dyDescent="0.25">
      <c r="A17" s="132"/>
      <c r="B17" s="132"/>
      <c r="C17" s="132"/>
      <c r="D17" s="132"/>
      <c r="E17" s="132"/>
      <c r="F17" s="133"/>
      <c r="G17" s="133"/>
      <c r="H17" s="141"/>
      <c r="I17" s="147">
        <f>IF(Mantelbogen!D26=I11,Mantelbogen!C28,Nov!I52)</f>
        <v>1.6250000000000042</v>
      </c>
      <c r="J17" s="148" t="str">
        <f>IF(Mantelbogen!D26=I11,Mantelbogen!D28,Nov!J52)</f>
        <v/>
      </c>
      <c r="K17" s="149" t="str">
        <f>IF(I17/H58 &gt; 1, I17/H58, " " )</f>
        <v xml:space="preserve"> </v>
      </c>
      <c r="L17" s="150"/>
      <c r="N17" s="151"/>
    </row>
    <row r="18" spans="1:14" ht="13.5" thickBot="1" x14ac:dyDescent="0.25">
      <c r="A18" s="132"/>
      <c r="B18" s="132"/>
      <c r="C18" s="132"/>
      <c r="D18" s="132"/>
      <c r="E18" s="132"/>
      <c r="F18" s="133"/>
      <c r="G18" s="133"/>
      <c r="H18" s="152"/>
      <c r="I18" s="147"/>
      <c r="J18" s="148"/>
      <c r="K18" s="153"/>
      <c r="L18" s="154"/>
      <c r="N18" s="151"/>
    </row>
    <row r="19" spans="1:14" ht="17.45" customHeight="1" x14ac:dyDescent="0.35">
      <c r="A19" s="155">
        <v>1</v>
      </c>
      <c r="B19" s="156" t="str">
        <f>TEXT(DATE(J$11,MONTH(I$11),A19),Textcode)</f>
        <v>Dienstag</v>
      </c>
      <c r="C19" s="157">
        <v>0.35416666666666669</v>
      </c>
      <c r="D19" s="157">
        <v>0.70833333333333337</v>
      </c>
      <c r="E19" s="157">
        <v>2.0833333333333332E-2</v>
      </c>
      <c r="F19" s="158">
        <f>IF(ISTEXT(C19),,D19-C19-E19)</f>
        <v>0.33333333333333337</v>
      </c>
      <c r="G19" s="159"/>
      <c r="H19" s="160">
        <f t="shared" ref="H19:H23" si="0">IF(AND(ISTEXT(C19),ISERR(SEARCH("ausgleich",C19,1))),,INDEX(H$51:H$58,WEEKDAY(DATE(J$11,MONTH(I$11),A19),2),1,1))</f>
        <v>0.33333333333333331</v>
      </c>
      <c r="I19" s="161" t="str" cm="1">
        <f t="array" ref="I19">IF(AND(F19&gt;H19,OR(AND(OR($B19&lt;&gt;Ref!$A$7,$H$56&gt;0),OR($B19&lt;&gt;Ref!$A$8,$H$57&gt;0)),COUNT(SEARCH(Sonderarbeit,$N19))&gt;=1),ISNONTEXT(C19),C19&lt;&gt;""),F19-H19,"")</f>
        <v/>
      </c>
      <c r="J19" s="162" t="str" cm="1">
        <f t="array" ref="J19">IF(OR(AND(F19&lt;H19,OR(AND(OR($B19&lt;&gt;Ref!$A$7,$H$56&gt;0),OR($B19&lt;&gt;Ref!$A$8,$H$57&gt;0)),COUNT(SEARCH(Sonderarbeit,$N19))&gt;=1)),C19="Ausgleich"),H19-F19,"")</f>
        <v/>
      </c>
      <c r="K19" s="163" t="str">
        <f>IF(AND(B19=Ref!$A$8,SUM(I19:I19)&lt;SUM(J19:J19)),"-","")</f>
        <v/>
      </c>
      <c r="L19" s="164" t="str">
        <f>IF(B19=Ref!$A$8,ABS(SUM(I19:I19)-SUM(J19:J19)),"")</f>
        <v/>
      </c>
      <c r="N19" s="165"/>
    </row>
    <row r="20" spans="1:14" ht="17.45" customHeight="1" x14ac:dyDescent="0.35">
      <c r="A20" s="155">
        <v>2</v>
      </c>
      <c r="B20" s="156" t="str">
        <f t="shared" ref="B20:B49" si="1">TEXT(DATE(J$11,MONTH(I$11),A20),Textcode)</f>
        <v>Mittwoch</v>
      </c>
      <c r="C20" s="157">
        <v>0.35416666666666669</v>
      </c>
      <c r="D20" s="157">
        <v>0.70833333333333337</v>
      </c>
      <c r="E20" s="157">
        <v>2.0833333333333332E-2</v>
      </c>
      <c r="F20" s="158">
        <f>IF(ISTEXT(C20),,D20-C20-E20)</f>
        <v>0.33333333333333337</v>
      </c>
      <c r="G20" s="159"/>
      <c r="H20" s="160">
        <f t="shared" si="0"/>
        <v>0.33333333333333331</v>
      </c>
      <c r="I20" s="161" t="str" cm="1">
        <f t="array" ref="I20">IF(AND(F20&gt;H20,OR(AND(OR($B20&lt;&gt;Ref!$A$7,$H$56&gt;0),OR($B20&lt;&gt;Ref!$A$8,$H$57&gt;0)),COUNT(SEARCH(Sonderarbeit,$N20))&gt;=1),ISNONTEXT(C20),C20&lt;&gt;""),F20-H20,"")</f>
        <v/>
      </c>
      <c r="J20" s="162" t="str" cm="1">
        <f t="array" ref="J20">IF(OR(AND(F20&lt;H20,OR(AND(OR($B20&lt;&gt;Ref!$A$7,$H$56&gt;0),OR($B20&lt;&gt;Ref!$A$8,$H$57&gt;0)),COUNT(SEARCH(Sonderarbeit,$N20))&gt;=1)),C20="Ausgleich"),H20-F20,"")</f>
        <v/>
      </c>
      <c r="K20" s="166" t="str">
        <f>IF(AND(B20=Ref!$A$8,SUM(I19:I20)&lt;SUM(J19:J20)),"-","")</f>
        <v/>
      </c>
      <c r="L20" s="167" t="str">
        <f>IF(B20=Ref!$A$8,ABS(SUM(I19:I20)-SUM(J19:J20)),"")</f>
        <v/>
      </c>
    </row>
    <row r="21" spans="1:14" ht="17.45" customHeight="1" x14ac:dyDescent="0.35">
      <c r="A21" s="155">
        <v>3</v>
      </c>
      <c r="B21" s="156" t="str">
        <f t="shared" si="1"/>
        <v>Donnerstag</v>
      </c>
      <c r="C21" s="157">
        <v>0.35416666666666669</v>
      </c>
      <c r="D21" s="157">
        <v>0.70833333333333337</v>
      </c>
      <c r="E21" s="157">
        <v>2.0833333333333332E-2</v>
      </c>
      <c r="F21" s="158">
        <f>IF(ISTEXT(C21),,D21-C21-E21)</f>
        <v>0.33333333333333337</v>
      </c>
      <c r="G21" s="159"/>
      <c r="H21" s="160">
        <f t="shared" si="0"/>
        <v>0.33333333333333331</v>
      </c>
      <c r="I21" s="161" t="str" cm="1">
        <f t="array" ref="I21">IF(AND(F21&gt;H21,OR(AND(OR($B21&lt;&gt;Ref!$A$7,$H$56&gt;0),OR($B21&lt;&gt;Ref!$A$8,$H$57&gt;0)),COUNT(SEARCH(Sonderarbeit,$N21))&gt;=1),ISNONTEXT(C21),C21&lt;&gt;""),F21-H21,"")</f>
        <v/>
      </c>
      <c r="J21" s="162" t="str" cm="1">
        <f t="array" ref="J21">IF(OR(AND(F21&lt;H21,OR(AND(OR($B21&lt;&gt;Ref!$A$7,$H$56&gt;0),OR($B21&lt;&gt;Ref!$A$8,$H$57&gt;0)),COUNT(SEARCH(Sonderarbeit,$N21))&gt;=1)),C21="Ausgleich"),H21-F21,"")</f>
        <v/>
      </c>
      <c r="K21" s="166" t="str">
        <f>IF(AND(B21=Ref!$A$8,SUM(I19:I21)&lt;SUM(J19:J21)),"-","")</f>
        <v/>
      </c>
      <c r="L21" s="167" t="str">
        <f>IF(B21=Ref!$A$8,ABS(SUM(I19:I21)-SUM(J19:J21)),"")</f>
        <v/>
      </c>
    </row>
    <row r="22" spans="1:14" ht="17.45" customHeight="1" x14ac:dyDescent="0.35">
      <c r="A22" s="168">
        <v>4</v>
      </c>
      <c r="B22" s="156" t="str">
        <f t="shared" si="1"/>
        <v>Freitag</v>
      </c>
      <c r="C22" s="157">
        <v>0.35416666666666669</v>
      </c>
      <c r="D22" s="157">
        <v>0.70833333333333337</v>
      </c>
      <c r="E22" s="157">
        <v>2.0833333333333332E-2</v>
      </c>
      <c r="F22" s="158">
        <f>IF(ISTEXT(C22),,D22-C22-E22)</f>
        <v>0.33333333333333337</v>
      </c>
      <c r="G22" s="159"/>
      <c r="H22" s="160">
        <f t="shared" si="0"/>
        <v>0.3125</v>
      </c>
      <c r="I22" s="161" cm="1">
        <f t="array" ref="I22">IF(AND(F22&gt;H22,OR(AND(OR($B22&lt;&gt;Ref!$A$7,$H$56&gt;0),OR($B22&lt;&gt;Ref!$A$8,$H$57&gt;0)),COUNT(SEARCH(Sonderarbeit,$N22))&gt;=1),ISNONTEXT(C22),C22&lt;&gt;""),F22-H22,"")</f>
        <v>2.083333333333337E-2</v>
      </c>
      <c r="J22" s="162" t="str" cm="1">
        <f t="array" ref="J22">IF(OR(AND(F22&lt;H22,OR(AND(OR($B22&lt;&gt;Ref!$A$7,$H$56&gt;0),OR($B22&lt;&gt;Ref!$A$8,$H$57&gt;0)),COUNT(SEARCH(Sonderarbeit,$N22))&gt;=1)),C22="Ausgleich"),H22-F22,"")</f>
        <v/>
      </c>
      <c r="K22" s="166" t="str">
        <f>IF(AND(B22=Ref!$A$8,SUM(I19:I22)&lt;SUM(J19:J22)),"-","")</f>
        <v/>
      </c>
      <c r="L22" s="167" t="str">
        <f>IF(B22=Ref!$A$8,ABS(SUM(I19:I22)-SUM(J19:J22)),"")</f>
        <v/>
      </c>
      <c r="N22" s="169"/>
    </row>
    <row r="23" spans="1:14" ht="17.45" customHeight="1" x14ac:dyDescent="0.35">
      <c r="A23" s="168">
        <v>5</v>
      </c>
      <c r="B23" s="156" t="str">
        <f t="shared" si="1"/>
        <v>Samstag</v>
      </c>
      <c r="C23" s="157">
        <v>0.35416666666666669</v>
      </c>
      <c r="D23" s="157">
        <v>0.70833333333333337</v>
      </c>
      <c r="E23" s="157">
        <v>2.0833333333333332E-2</v>
      </c>
      <c r="F23" s="158">
        <f>IF(ISTEXT(C23),,D23-C23-E23)</f>
        <v>0.33333333333333337</v>
      </c>
      <c r="G23" s="159"/>
      <c r="H23" s="160">
        <f t="shared" si="0"/>
        <v>0</v>
      </c>
      <c r="I23" s="161" t="str" cm="1">
        <f t="array" ref="I23">IF(AND(F23&gt;H23,OR(AND(OR($B23&lt;&gt;Ref!$A$7,$H$56&gt;0),OR($B23&lt;&gt;Ref!$A$8,$H$57&gt;0)),COUNT(SEARCH(Sonderarbeit,$N23))&gt;=1),ISNONTEXT(C23),C23&lt;&gt;""),F23-H23,"")</f>
        <v/>
      </c>
      <c r="J23" s="162" t="str" cm="1">
        <f t="array" ref="J23">IF(OR(AND(F23&lt;H23,OR(AND(OR($B23&lt;&gt;Ref!$A$7,$H$56&gt;0),OR($B23&lt;&gt;Ref!$A$8,$H$57&gt;0)),COUNT(SEARCH(Sonderarbeit,$N23))&gt;=1)),C23="Ausgleich"),H23-F23,"")</f>
        <v/>
      </c>
      <c r="K23" s="166" t="str">
        <f>IF(AND(B23=Ref!$A$8,SUM(I19:I23)&lt;SUM(J19:J23)),"-","")</f>
        <v/>
      </c>
      <c r="L23" s="167" t="str">
        <f>IF(B23=Ref!$A$8,ABS(SUM(I19:I23)-SUM(J19:J23)),"")</f>
        <v/>
      </c>
    </row>
    <row r="24" spans="1:14" ht="17.45" customHeight="1" x14ac:dyDescent="0.35">
      <c r="A24" s="155">
        <v>6</v>
      </c>
      <c r="B24" s="156" t="str">
        <f t="shared" si="1"/>
        <v>Sonntag</v>
      </c>
      <c r="C24" s="157">
        <v>0.35416666666666669</v>
      </c>
      <c r="D24" s="157">
        <v>0.70833333333333337</v>
      </c>
      <c r="E24" s="157">
        <v>2.0833333333333332E-2</v>
      </c>
      <c r="F24" s="158">
        <f>IF(ISTEXT(C24),,D24-C24-E24)</f>
        <v>0.33333333333333337</v>
      </c>
      <c r="G24" s="159"/>
      <c r="H24" s="160">
        <f>IF(AND(ISTEXT(C24),ISERR(SEARCH("ausgleich",C24,1))),,INDEX(H$51:H$58,WEEKDAY(DATE(J$11,MONTH(I$11),A24),2),1,1))</f>
        <v>0</v>
      </c>
      <c r="I24" s="161" t="str" cm="1">
        <f t="array" ref="I24">IF(AND(F24&gt;H24,OR(AND(OR($B24&lt;&gt;Ref!$A$7,$H$56&gt;0),OR($B24&lt;&gt;Ref!$A$8,$H$57&gt;0)),COUNT(SEARCH(Sonderarbeit,$N24))&gt;=1),ISNONTEXT(C24),C24&lt;&gt;""),F24-H24,"")</f>
        <v/>
      </c>
      <c r="J24" s="162" t="str" cm="1">
        <f t="array" ref="J24">IF(OR(AND(F24&lt;H24,OR(AND(OR($B24&lt;&gt;Ref!$A$7,$H$56&gt;0),OR($B24&lt;&gt;Ref!$A$8,$H$57&gt;0)),COUNT(SEARCH(Sonderarbeit,$N24))&gt;=1)),C24="Ausgleich"),H24-F24,"")</f>
        <v/>
      </c>
      <c r="K24" s="166" t="str">
        <f>IF(AND(B24=Ref!$A$8,SUM(I19:I24)&lt;SUM(J19:J24)),"-","")</f>
        <v/>
      </c>
      <c r="L24" s="167">
        <f>IF(B24=Ref!$A$8,ABS(SUM(I19:I24)-SUM(J19:J24)),"")</f>
        <v>2.083333333333337E-2</v>
      </c>
    </row>
    <row r="25" spans="1:14" ht="17.45" customHeight="1" x14ac:dyDescent="0.35">
      <c r="A25" s="168">
        <v>7</v>
      </c>
      <c r="B25" s="156" t="str">
        <f t="shared" si="1"/>
        <v>Montag</v>
      </c>
      <c r="C25" s="157">
        <v>0.35416666666666669</v>
      </c>
      <c r="D25" s="157">
        <v>0.70833333333333337</v>
      </c>
      <c r="E25" s="157">
        <v>2.0833333333333332E-2</v>
      </c>
      <c r="F25" s="158">
        <f>IF(ISTEXT(C25),,D25-C25-E25)</f>
        <v>0.33333333333333337</v>
      </c>
      <c r="G25" s="159"/>
      <c r="H25" s="160">
        <f t="shared" ref="H25:H49" si="2">IF(AND(ISTEXT(C25),ISERR(SEARCH("ausgleich",C25,1))),,INDEX(H$51:H$58,WEEKDAY(DATE(J$11,MONTH(I$11),A25),2),1,1))</f>
        <v>0.33333333333333331</v>
      </c>
      <c r="I25" s="161" t="str" cm="1">
        <f t="array" ref="I25">IF(AND(F25&gt;H25,OR(AND(OR($B25&lt;&gt;Ref!$A$7,$H$56&gt;0),OR($B25&lt;&gt;Ref!$A$8,$H$57&gt;0)),COUNT(SEARCH(Sonderarbeit,$N25))&gt;=1),ISNONTEXT(C25),C25&lt;&gt;""),F25-H25,"")</f>
        <v/>
      </c>
      <c r="J25" s="162" t="str" cm="1">
        <f t="array" ref="J25">IF(OR(AND(F25&lt;H25,OR(AND(OR($B25&lt;&gt;Ref!$A$7,$H$56&gt;0),OR($B25&lt;&gt;Ref!$A$8,$H$57&gt;0)),COUNT(SEARCH(Sonderarbeit,$N25))&gt;=1)),C25="Ausgleich"),H25-F25,"")</f>
        <v/>
      </c>
      <c r="K25" s="166" t="str">
        <f>IF(AND(B25=Ref!$A$8,SUM(I19:I25)&lt;SUM(J19:J25)),"-","")</f>
        <v/>
      </c>
      <c r="L25" s="167" t="str">
        <f>IF(B25=Ref!$A$8,ABS(SUM(I19:I25)-SUM(J19:J25)),"")</f>
        <v/>
      </c>
    </row>
    <row r="26" spans="1:14" ht="17.45" customHeight="1" x14ac:dyDescent="0.35">
      <c r="A26" s="168">
        <v>8</v>
      </c>
      <c r="B26" s="156" t="str">
        <f t="shared" si="1"/>
        <v>Dienstag</v>
      </c>
      <c r="C26" s="157">
        <v>0.35416666666666669</v>
      </c>
      <c r="D26" s="157">
        <v>0.70833333333333337</v>
      </c>
      <c r="E26" s="157">
        <v>2.0833333333333332E-2</v>
      </c>
      <c r="F26" s="158">
        <f>IF(ISTEXT(C26),,D26-C26-E26)</f>
        <v>0.33333333333333337</v>
      </c>
      <c r="G26" s="159"/>
      <c r="H26" s="160">
        <f t="shared" si="2"/>
        <v>0.33333333333333331</v>
      </c>
      <c r="I26" s="161" t="str" cm="1">
        <f t="array" ref="I26">IF(AND(F26&gt;H26,OR(AND(OR($B26&lt;&gt;Ref!$A$7,$H$56&gt;0),OR($B26&lt;&gt;Ref!$A$8,$H$57&gt;0)),COUNT(SEARCH(Sonderarbeit,$N26))&gt;=1),ISNONTEXT(C26),C26&lt;&gt;""),F26-H26,"")</f>
        <v/>
      </c>
      <c r="J26" s="162" t="str" cm="1">
        <f t="array" ref="J26">IF(OR(AND(F26&lt;H26,OR(AND(OR($B26&lt;&gt;Ref!$A$7,$H$56&gt;0),OR($B26&lt;&gt;Ref!$A$8,$H$57&gt;0)),COUNT(SEARCH(Sonderarbeit,$N26))&gt;=1)),C26="Ausgleich"),H26-F26,"")</f>
        <v/>
      </c>
      <c r="K26" s="166" t="str">
        <f>IF(AND(B26=Ref!$A$8,SUM(I20:I26)&lt;SUM(J20:J26)),"-","")</f>
        <v/>
      </c>
      <c r="L26" s="167" t="str">
        <f>IF(B26=Ref!$A$8,ABS(SUM(I20:I26)-SUM(J20:J26)),"")</f>
        <v/>
      </c>
    </row>
    <row r="27" spans="1:14" ht="17.45" customHeight="1" x14ac:dyDescent="0.35">
      <c r="A27" s="155">
        <v>9</v>
      </c>
      <c r="B27" s="156" t="str">
        <f t="shared" si="1"/>
        <v>Mittwoch</v>
      </c>
      <c r="C27" s="157">
        <v>0.35416666666666669</v>
      </c>
      <c r="D27" s="157">
        <v>0.70833333333333337</v>
      </c>
      <c r="E27" s="157">
        <v>2.0833333333333332E-2</v>
      </c>
      <c r="F27" s="158">
        <f>IF(ISTEXT(C27),,D27-C27-E27)</f>
        <v>0.33333333333333337</v>
      </c>
      <c r="G27" s="159"/>
      <c r="H27" s="160">
        <f t="shared" si="2"/>
        <v>0.33333333333333331</v>
      </c>
      <c r="I27" s="161" t="str" cm="1">
        <f t="array" ref="I27">IF(AND(F27&gt;H27,OR(AND(OR($B27&lt;&gt;Ref!$A$7,$H$56&gt;0),OR($B27&lt;&gt;Ref!$A$8,$H$57&gt;0)),COUNT(SEARCH(Sonderarbeit,$N27))&gt;=1),ISNONTEXT(C27),C27&lt;&gt;""),F27-H27,"")</f>
        <v/>
      </c>
      <c r="J27" s="162" t="str" cm="1">
        <f t="array" ref="J27">IF(OR(AND(F27&lt;H27,OR(AND(OR($B27&lt;&gt;Ref!$A$7,$H$56&gt;0),OR($B27&lt;&gt;Ref!$A$8,$H$57&gt;0)),COUNT(SEARCH(Sonderarbeit,$N27))&gt;=1)),C27="Ausgleich"),H27-F27,"")</f>
        <v/>
      </c>
      <c r="K27" s="166" t="str">
        <f>IF(AND(B27=Ref!$A$8,SUM(I21:I27)&lt;SUM(J21:J27)),"-","")</f>
        <v/>
      </c>
      <c r="L27" s="167" t="str">
        <f>IF(B27=Ref!$A$8,ABS(SUM(I21:I27)-SUM(J21:J27)),"")</f>
        <v/>
      </c>
    </row>
    <row r="28" spans="1:14" ht="17.45" customHeight="1" x14ac:dyDescent="0.35">
      <c r="A28" s="155">
        <v>10</v>
      </c>
      <c r="B28" s="156" t="str">
        <f t="shared" si="1"/>
        <v>Donnerstag</v>
      </c>
      <c r="C28" s="157">
        <v>0.35416666666666669</v>
      </c>
      <c r="D28" s="157">
        <v>0.70833333333333337</v>
      </c>
      <c r="E28" s="157">
        <v>2.0833333333333332E-2</v>
      </c>
      <c r="F28" s="158">
        <f>IF(ISTEXT(C28),,D28-C28-E28)</f>
        <v>0.33333333333333337</v>
      </c>
      <c r="G28" s="159"/>
      <c r="H28" s="160">
        <f t="shared" si="2"/>
        <v>0.33333333333333331</v>
      </c>
      <c r="I28" s="161" t="str" cm="1">
        <f t="array" ref="I28">IF(AND(F28&gt;H28,OR(AND(OR($B28&lt;&gt;Ref!$A$7,$H$56&gt;0),OR($B28&lt;&gt;Ref!$A$8,$H$57&gt;0)),COUNT(SEARCH(Sonderarbeit,$N28))&gt;=1),ISNONTEXT(C28),C28&lt;&gt;""),F28-H28,"")</f>
        <v/>
      </c>
      <c r="J28" s="162" t="str" cm="1">
        <f t="array" ref="J28">IF(OR(AND(F28&lt;H28,OR(AND(OR($B28&lt;&gt;Ref!$A$7,$H$56&gt;0),OR($B28&lt;&gt;Ref!$A$8,$H$57&gt;0)),COUNT(SEARCH(Sonderarbeit,$N28))&gt;=1)),C28="Ausgleich"),H28-F28,"")</f>
        <v/>
      </c>
      <c r="K28" s="166" t="str">
        <f>IF(AND(B28=Ref!$A$8,SUM(I22:I28)&lt;SUM(J22:J28)),"-","")</f>
        <v/>
      </c>
      <c r="L28" s="167" t="str">
        <f>IF(B28=Ref!$A$8,ABS(SUM(I22:I28)-SUM(J22:J28)),"")</f>
        <v/>
      </c>
    </row>
    <row r="29" spans="1:14" ht="17.45" customHeight="1" x14ac:dyDescent="0.35">
      <c r="A29" s="168">
        <v>11</v>
      </c>
      <c r="B29" s="156" t="str">
        <f t="shared" si="1"/>
        <v>Freitag</v>
      </c>
      <c r="C29" s="157">
        <v>0.35416666666666669</v>
      </c>
      <c r="D29" s="157">
        <v>0.70833333333333337</v>
      </c>
      <c r="E29" s="157">
        <v>2.0833333333333332E-2</v>
      </c>
      <c r="F29" s="158">
        <f>IF(ISTEXT(C29),,D29-C29-E29)</f>
        <v>0.33333333333333337</v>
      </c>
      <c r="G29" s="159"/>
      <c r="H29" s="160">
        <f t="shared" si="2"/>
        <v>0.3125</v>
      </c>
      <c r="I29" s="161" cm="1">
        <f t="array" ref="I29">IF(AND(F29&gt;H29,OR(AND(OR($B29&lt;&gt;Ref!$A$7,$H$56&gt;0),OR($B29&lt;&gt;Ref!$A$8,$H$57&gt;0)),COUNT(SEARCH(Sonderarbeit,$N29))&gt;=1),ISNONTEXT(C29),C29&lt;&gt;""),F29-H29,"")</f>
        <v>2.083333333333337E-2</v>
      </c>
      <c r="J29" s="162" t="str" cm="1">
        <f t="array" ref="J29">IF(OR(AND(F29&lt;H29,OR(AND(OR($B29&lt;&gt;Ref!$A$7,$H$56&gt;0),OR($B29&lt;&gt;Ref!$A$8,$H$57&gt;0)),COUNT(SEARCH(Sonderarbeit,$N29))&gt;=1)),C29="Ausgleich"),H29-F29,"")</f>
        <v/>
      </c>
      <c r="K29" s="166" t="str">
        <f>IF(AND(B29=Ref!$A$8,SUM(I23:I29)&lt;SUM(J23:J29)),"-","")</f>
        <v/>
      </c>
      <c r="L29" s="167" t="str">
        <f>IF(B29=Ref!$A$8,ABS(SUM(I23:I29)-SUM(J23:J29)),"")</f>
        <v/>
      </c>
    </row>
    <row r="30" spans="1:14" ht="17.45" customHeight="1" x14ac:dyDescent="0.35">
      <c r="A30" s="168">
        <v>12</v>
      </c>
      <c r="B30" s="156" t="str">
        <f t="shared" si="1"/>
        <v>Samstag</v>
      </c>
      <c r="C30" s="157">
        <v>0.35416666666666669</v>
      </c>
      <c r="D30" s="157">
        <v>0.70833333333333337</v>
      </c>
      <c r="E30" s="157">
        <v>2.0833333333333332E-2</v>
      </c>
      <c r="F30" s="158">
        <f>IF(ISTEXT(C30),,D30-C30-E30)</f>
        <v>0.33333333333333337</v>
      </c>
      <c r="G30" s="159"/>
      <c r="H30" s="160">
        <f t="shared" si="2"/>
        <v>0</v>
      </c>
      <c r="I30" s="161" t="str" cm="1">
        <f t="array" ref="I30">IF(AND(F30&gt;H30,OR(AND(OR($B30&lt;&gt;Ref!$A$7,$H$56&gt;0),OR($B30&lt;&gt;Ref!$A$8,$H$57&gt;0)),COUNT(SEARCH(Sonderarbeit,$N30))&gt;=1),ISNONTEXT(C30),C30&lt;&gt;""),F30-H30,"")</f>
        <v/>
      </c>
      <c r="J30" s="162" t="str" cm="1">
        <f t="array" ref="J30">IF(OR(AND(F30&lt;H30,OR(AND(OR($B30&lt;&gt;Ref!$A$7,$H$56&gt;0),OR($B30&lt;&gt;Ref!$A$8,$H$57&gt;0)),COUNT(SEARCH(Sonderarbeit,$N30))&gt;=1)),C30="Ausgleich"),H30-F30,"")</f>
        <v/>
      </c>
      <c r="K30" s="166" t="str">
        <f>IF(AND(B30=Ref!$A$8,SUM(I24:I30)&lt;SUM(J24:J30)),"-","")</f>
        <v/>
      </c>
      <c r="L30" s="167" t="str">
        <f>IF(B30=Ref!$A$8,ABS(SUM(I24:I30)-SUM(J24:J30)),"")</f>
        <v/>
      </c>
    </row>
    <row r="31" spans="1:14" ht="17.45" customHeight="1" x14ac:dyDescent="0.35">
      <c r="A31" s="168">
        <v>13</v>
      </c>
      <c r="B31" s="156" t="str">
        <f t="shared" si="1"/>
        <v>Sonntag</v>
      </c>
      <c r="C31" s="157">
        <v>0.35416666666666669</v>
      </c>
      <c r="D31" s="157">
        <v>0.70833333333333337</v>
      </c>
      <c r="E31" s="157">
        <v>2.0833333333333332E-2</v>
      </c>
      <c r="F31" s="158">
        <f>IF(ISTEXT(C31),,D31-C31-E31)</f>
        <v>0.33333333333333337</v>
      </c>
      <c r="G31" s="159"/>
      <c r="H31" s="160">
        <f t="shared" si="2"/>
        <v>0</v>
      </c>
      <c r="I31" s="161" t="str" cm="1">
        <f t="array" ref="I31">IF(AND(F31&gt;H31,OR(AND(OR($B31&lt;&gt;Ref!$A$7,$H$56&gt;0),OR($B31&lt;&gt;Ref!$A$8,$H$57&gt;0)),COUNT(SEARCH(Sonderarbeit,$N31))&gt;=1),ISNONTEXT(C31),C31&lt;&gt;""),F31-H31,"")</f>
        <v/>
      </c>
      <c r="J31" s="162" t="str" cm="1">
        <f t="array" ref="J31">IF(OR(AND(F31&lt;H31,OR(AND(OR($B31&lt;&gt;Ref!$A$7,$H$56&gt;0),OR($B31&lt;&gt;Ref!$A$8,$H$57&gt;0)),COUNT(SEARCH(Sonderarbeit,$N31))&gt;=1)),C31="Ausgleich"),H31-F31,"")</f>
        <v/>
      </c>
      <c r="K31" s="166" t="str">
        <f>IF(AND(B31=Ref!$A$8,SUM(I25:I31)&lt;SUM(J25:J31)),"-","")</f>
        <v/>
      </c>
      <c r="L31" s="167">
        <f>IF(B31=Ref!$A$8,ABS(SUM(I25:I31)-SUM(J25:J31)),"")</f>
        <v>2.083333333333337E-2</v>
      </c>
    </row>
    <row r="32" spans="1:14" ht="17.45" customHeight="1" x14ac:dyDescent="0.35">
      <c r="A32" s="168">
        <v>14</v>
      </c>
      <c r="B32" s="156" t="str">
        <f t="shared" si="1"/>
        <v>Montag</v>
      </c>
      <c r="C32" s="157">
        <v>0.35416666666666669</v>
      </c>
      <c r="D32" s="157">
        <v>0.70833333333333337</v>
      </c>
      <c r="E32" s="157">
        <v>2.0833333333333332E-2</v>
      </c>
      <c r="F32" s="158">
        <f>IF(ISTEXT(C32),,D32-C32-E32)</f>
        <v>0.33333333333333337</v>
      </c>
      <c r="G32" s="159"/>
      <c r="H32" s="160">
        <f t="shared" si="2"/>
        <v>0.33333333333333331</v>
      </c>
      <c r="I32" s="161" t="str" cm="1">
        <f t="array" ref="I32">IF(AND(F32&gt;H32,OR(AND(OR($B32&lt;&gt;Ref!$A$7,$H$56&gt;0),OR($B32&lt;&gt;Ref!$A$8,$H$57&gt;0)),COUNT(SEARCH(Sonderarbeit,$N32))&gt;=1),ISNONTEXT(C32),C32&lt;&gt;""),F32-H32,"")</f>
        <v/>
      </c>
      <c r="J32" s="162" t="str" cm="1">
        <f t="array" ref="J32">IF(OR(AND(F32&lt;H32,OR(AND(OR($B32&lt;&gt;Ref!$A$7,$H$56&gt;0),OR($B32&lt;&gt;Ref!$A$8,$H$57&gt;0)),COUNT(SEARCH(Sonderarbeit,$N32))&gt;=1)),C32="Ausgleich"),H32-F32,"")</f>
        <v/>
      </c>
      <c r="K32" s="166" t="str">
        <f>IF(AND(B32=Ref!$A$8,SUM(I26:I32)&lt;SUM(J26:J32)),"-","")</f>
        <v/>
      </c>
      <c r="L32" s="167" t="str">
        <f>IF(B32=Ref!$A$8,ABS(SUM(I26:I32)-SUM(J26:J32)),"")</f>
        <v/>
      </c>
    </row>
    <row r="33" spans="1:14" ht="17.45" customHeight="1" x14ac:dyDescent="0.35">
      <c r="A33" s="155">
        <v>15</v>
      </c>
      <c r="B33" s="156" t="str">
        <f t="shared" si="1"/>
        <v>Dienstag</v>
      </c>
      <c r="C33" s="157">
        <v>0.35416666666666669</v>
      </c>
      <c r="D33" s="157">
        <v>0.70833333333333337</v>
      </c>
      <c r="E33" s="157">
        <v>2.0833333333333332E-2</v>
      </c>
      <c r="F33" s="158">
        <f>IF(ISTEXT(C33),,D33-C33-E33)</f>
        <v>0.33333333333333337</v>
      </c>
      <c r="G33" s="159"/>
      <c r="H33" s="160">
        <f t="shared" si="2"/>
        <v>0.33333333333333331</v>
      </c>
      <c r="I33" s="161" t="str" cm="1">
        <f t="array" ref="I33">IF(AND(F33&gt;H33,OR(AND(OR($B33&lt;&gt;Ref!$A$7,$H$56&gt;0),OR($B33&lt;&gt;Ref!$A$8,$H$57&gt;0)),COUNT(SEARCH(Sonderarbeit,$N33))&gt;=1),ISNONTEXT(C33),C33&lt;&gt;""),F33-H33,"")</f>
        <v/>
      </c>
      <c r="J33" s="162" t="str" cm="1">
        <f t="array" ref="J33">IF(OR(AND(F33&lt;H33,OR(AND(OR($B33&lt;&gt;Ref!$A$7,$H$56&gt;0),OR($B33&lt;&gt;Ref!$A$8,$H$57&gt;0)),COUNT(SEARCH(Sonderarbeit,$N33))&gt;=1)),C33="Ausgleich"),H33-F33,"")</f>
        <v/>
      </c>
      <c r="K33" s="166" t="str">
        <f>IF(AND(B33=Ref!$A$8,SUM(I27:I33)&lt;SUM(J27:J33)),"-","")</f>
        <v/>
      </c>
      <c r="L33" s="167" t="str">
        <f>IF(B33=Ref!$A$8,ABS(SUM(I27:I33)-SUM(J27:J33)),"")</f>
        <v/>
      </c>
    </row>
    <row r="34" spans="1:14" ht="17.45" customHeight="1" x14ac:dyDescent="0.35">
      <c r="A34" s="155">
        <v>16</v>
      </c>
      <c r="B34" s="156" t="str">
        <f t="shared" si="1"/>
        <v>Mittwoch</v>
      </c>
      <c r="C34" s="157">
        <v>0.35416666666666669</v>
      </c>
      <c r="D34" s="157">
        <v>0.70833333333333337</v>
      </c>
      <c r="E34" s="157">
        <v>2.0833333333333332E-2</v>
      </c>
      <c r="F34" s="158">
        <f>IF(ISTEXT(C34),,D34-C34-E34)</f>
        <v>0.33333333333333337</v>
      </c>
      <c r="G34" s="159"/>
      <c r="H34" s="160">
        <f t="shared" si="2"/>
        <v>0.33333333333333331</v>
      </c>
      <c r="I34" s="161" t="str" cm="1">
        <f t="array" ref="I34">IF(AND(F34&gt;H34,OR(AND(OR($B34&lt;&gt;Ref!$A$7,$H$56&gt;0),OR($B34&lt;&gt;Ref!$A$8,$H$57&gt;0)),COUNT(SEARCH(Sonderarbeit,$N34))&gt;=1),ISNONTEXT(C34),C34&lt;&gt;""),F34-H34,"")</f>
        <v/>
      </c>
      <c r="J34" s="162" t="str" cm="1">
        <f t="array" ref="J34">IF(OR(AND(F34&lt;H34,OR(AND(OR($B34&lt;&gt;Ref!$A$7,$H$56&gt;0),OR($B34&lt;&gt;Ref!$A$8,$H$57&gt;0)),COUNT(SEARCH(Sonderarbeit,$N34))&gt;=1)),C34="Ausgleich"),H34-F34,"")</f>
        <v/>
      </c>
      <c r="K34" s="166" t="str">
        <f>IF(AND(B34=Ref!$A$8,SUM(I28:I34)&lt;SUM(J28:J34)),"-","")</f>
        <v/>
      </c>
      <c r="L34" s="167" t="str">
        <f>IF(B34=Ref!$A$8,ABS(SUM(I28:I34)-SUM(J28:J34)),"")</f>
        <v/>
      </c>
    </row>
    <row r="35" spans="1:14" ht="17.45" customHeight="1" x14ac:dyDescent="0.35">
      <c r="A35" s="155">
        <v>17</v>
      </c>
      <c r="B35" s="156" t="str">
        <f t="shared" si="1"/>
        <v>Donnerstag</v>
      </c>
      <c r="C35" s="157">
        <v>0.35416666666666669</v>
      </c>
      <c r="D35" s="157">
        <v>0.70833333333333337</v>
      </c>
      <c r="E35" s="157">
        <v>2.0833333333333332E-2</v>
      </c>
      <c r="F35" s="158">
        <f>IF(ISTEXT(C35),,D35-C35-E35)</f>
        <v>0.33333333333333337</v>
      </c>
      <c r="G35" s="159"/>
      <c r="H35" s="160">
        <f t="shared" si="2"/>
        <v>0.33333333333333331</v>
      </c>
      <c r="I35" s="161" t="str" cm="1">
        <f t="array" ref="I35">IF(AND(F35&gt;H35,OR(AND(OR($B35&lt;&gt;Ref!$A$7,$H$56&gt;0),OR($B35&lt;&gt;Ref!$A$8,$H$57&gt;0)),COUNT(SEARCH(Sonderarbeit,$N35))&gt;=1),ISNONTEXT(C35),C35&lt;&gt;""),F35-H35,"")</f>
        <v/>
      </c>
      <c r="J35" s="162" t="str" cm="1">
        <f t="array" ref="J35">IF(OR(AND(F35&lt;H35,OR(AND(OR($B35&lt;&gt;Ref!$A$7,$H$56&gt;0),OR($B35&lt;&gt;Ref!$A$8,$H$57&gt;0)),COUNT(SEARCH(Sonderarbeit,$N35))&gt;=1)),C35="Ausgleich"),H35-F35,"")</f>
        <v/>
      </c>
      <c r="K35" s="166" t="str">
        <f>IF(AND(B35=Ref!$A$8,SUM(I29:I35)&lt;SUM(J29:J35)),"-","")</f>
        <v/>
      </c>
      <c r="L35" s="167" t="str">
        <f>IF(B35=Ref!$A$8,ABS(SUM(I29:I35)-SUM(J29:J35)),"")</f>
        <v/>
      </c>
    </row>
    <row r="36" spans="1:14" ht="17.45" customHeight="1" x14ac:dyDescent="0.35">
      <c r="A36" s="155">
        <v>18</v>
      </c>
      <c r="B36" s="156" t="str">
        <f t="shared" si="1"/>
        <v>Freitag</v>
      </c>
      <c r="C36" s="157">
        <v>0.35416666666666669</v>
      </c>
      <c r="D36" s="157">
        <v>0.70833333333333337</v>
      </c>
      <c r="E36" s="157">
        <v>2.0833333333333332E-2</v>
      </c>
      <c r="F36" s="158">
        <f>IF(ISTEXT(C36),,D36-C36-E36)</f>
        <v>0.33333333333333337</v>
      </c>
      <c r="G36" s="159"/>
      <c r="H36" s="160">
        <f t="shared" si="2"/>
        <v>0.3125</v>
      </c>
      <c r="I36" s="161" cm="1">
        <f t="array" ref="I36">IF(AND(F36&gt;H36,OR(AND(OR($B36&lt;&gt;Ref!$A$7,$H$56&gt;0),OR($B36&lt;&gt;Ref!$A$8,$H$57&gt;0)),COUNT(SEARCH(Sonderarbeit,$N36))&gt;=1),ISNONTEXT(C36),C36&lt;&gt;""),F36-H36,"")</f>
        <v>2.083333333333337E-2</v>
      </c>
      <c r="J36" s="162" t="str" cm="1">
        <f t="array" ref="J36">IF(OR(AND(F36&lt;H36,OR(AND(OR($B36&lt;&gt;Ref!$A$7,$H$56&gt;0),OR($B36&lt;&gt;Ref!$A$8,$H$57&gt;0)),COUNT(SEARCH(Sonderarbeit,$N36))&gt;=1)),C36="Ausgleich"),H36-F36,"")</f>
        <v/>
      </c>
      <c r="K36" s="166" t="str">
        <f>IF(AND(B36=Ref!$A$8,SUM(I30:I36)&lt;SUM(J30:J36)),"-","")</f>
        <v/>
      </c>
      <c r="L36" s="167" t="str">
        <f>IF(B36=Ref!$A$8,ABS(SUM(I30:I36)-SUM(J30:J36)),"")</f>
        <v/>
      </c>
    </row>
    <row r="37" spans="1:14" ht="17.45" customHeight="1" x14ac:dyDescent="0.35">
      <c r="A37" s="155">
        <v>19</v>
      </c>
      <c r="B37" s="156" t="str">
        <f t="shared" si="1"/>
        <v>Samstag</v>
      </c>
      <c r="C37" s="157">
        <v>0.35416666666666669</v>
      </c>
      <c r="D37" s="157">
        <v>0.70833333333333337</v>
      </c>
      <c r="E37" s="157">
        <v>2.0833333333333332E-2</v>
      </c>
      <c r="F37" s="158">
        <f>IF(ISTEXT(C37),,D37-C37-E37)</f>
        <v>0.33333333333333337</v>
      </c>
      <c r="G37" s="159"/>
      <c r="H37" s="160">
        <f t="shared" si="2"/>
        <v>0</v>
      </c>
      <c r="I37" s="161" t="str" cm="1">
        <f t="array" ref="I37">IF(AND(F37&gt;H37,OR(AND(OR($B37&lt;&gt;Ref!$A$7,$H$56&gt;0),OR($B37&lt;&gt;Ref!$A$8,$H$57&gt;0)),COUNT(SEARCH(Sonderarbeit,$N37))&gt;=1),ISNONTEXT(C37),C37&lt;&gt;""),F37-H37,"")</f>
        <v/>
      </c>
      <c r="J37" s="162" t="str" cm="1">
        <f t="array" ref="J37">IF(OR(AND(F37&lt;H37,OR(AND(OR($B37&lt;&gt;Ref!$A$7,$H$56&gt;0),OR($B37&lt;&gt;Ref!$A$8,$H$57&gt;0)),COUNT(SEARCH(Sonderarbeit,$N37))&gt;=1)),C37="Ausgleich"),H37-F37,"")</f>
        <v/>
      </c>
      <c r="K37" s="166" t="str">
        <f>IF(AND(B37=Ref!$A$8,SUM(I31:I37)&lt;SUM(J31:J37)),"-","")</f>
        <v/>
      </c>
      <c r="L37" s="167" t="str">
        <f>IF(B37=Ref!$A$8,ABS(SUM(I31:I37)-SUM(J31:J37)),"")</f>
        <v/>
      </c>
    </row>
    <row r="38" spans="1:14" ht="17.45" customHeight="1" x14ac:dyDescent="0.35">
      <c r="A38" s="155">
        <v>20</v>
      </c>
      <c r="B38" s="156" t="str">
        <f t="shared" si="1"/>
        <v>Sonntag</v>
      </c>
      <c r="C38" s="157">
        <v>0.35416666666666669</v>
      </c>
      <c r="D38" s="157">
        <v>0.70833333333333337</v>
      </c>
      <c r="E38" s="157">
        <v>2.0833333333333332E-2</v>
      </c>
      <c r="F38" s="158">
        <f>IF(ISTEXT(C38),,D38-C38-E38)</f>
        <v>0.33333333333333337</v>
      </c>
      <c r="G38" s="159"/>
      <c r="H38" s="160">
        <f t="shared" si="2"/>
        <v>0</v>
      </c>
      <c r="I38" s="161" t="str" cm="1">
        <f t="array" ref="I38">IF(AND(F38&gt;H38,OR(AND(OR($B38&lt;&gt;Ref!$A$7,$H$56&gt;0),OR($B38&lt;&gt;Ref!$A$8,$H$57&gt;0)),COUNT(SEARCH(Sonderarbeit,$N38))&gt;=1),ISNONTEXT(C38),C38&lt;&gt;""),F38-H38,"")</f>
        <v/>
      </c>
      <c r="J38" s="162" t="str" cm="1">
        <f t="array" ref="J38">IF(OR(AND(F38&lt;H38,OR(AND(OR($B38&lt;&gt;Ref!$A$7,$H$56&gt;0),OR($B38&lt;&gt;Ref!$A$8,$H$57&gt;0)),COUNT(SEARCH(Sonderarbeit,$N38))&gt;=1)),C38="Ausgleich"),H38-F38,"")</f>
        <v/>
      </c>
      <c r="K38" s="166" t="str">
        <f>IF(AND(B38=Ref!$A$8,SUM(I32:I38)&lt;SUM(J32:J38)),"-","")</f>
        <v/>
      </c>
      <c r="L38" s="167">
        <f>IF(B38=Ref!$A$8,ABS(SUM(I32:I38)-SUM(J32:J38)),"")</f>
        <v>2.083333333333337E-2</v>
      </c>
      <c r="N38" s="100" t="s">
        <v>125</v>
      </c>
    </row>
    <row r="39" spans="1:14" ht="17.45" customHeight="1" x14ac:dyDescent="0.35">
      <c r="A39" s="155">
        <v>21</v>
      </c>
      <c r="B39" s="156" t="str">
        <f t="shared" si="1"/>
        <v>Montag</v>
      </c>
      <c r="C39" s="157">
        <v>0.35416666666666669</v>
      </c>
      <c r="D39" s="157">
        <v>0.70833333333333337</v>
      </c>
      <c r="E39" s="157">
        <v>2.0833333333333332E-2</v>
      </c>
      <c r="F39" s="158">
        <f>IF(ISTEXT(C39),,D39-C39-E39)</f>
        <v>0.33333333333333337</v>
      </c>
      <c r="G39" s="159"/>
      <c r="H39" s="160">
        <f t="shared" si="2"/>
        <v>0.33333333333333331</v>
      </c>
      <c r="I39" s="161" t="str" cm="1">
        <f t="array" ref="I39">IF(AND(F39&gt;H39,OR(AND(OR($B39&lt;&gt;Ref!$A$7,$H$56&gt;0),OR($B39&lt;&gt;Ref!$A$8,$H$57&gt;0)),COUNT(SEARCH(Sonderarbeit,$N39))&gt;=1),ISNONTEXT(C39),C39&lt;&gt;""),F39-H39,"")</f>
        <v/>
      </c>
      <c r="J39" s="162" t="str" cm="1">
        <f t="array" ref="J39">IF(OR(AND(F39&lt;H39,OR(AND(OR($B39&lt;&gt;Ref!$A$7,$H$56&gt;0),OR($B39&lt;&gt;Ref!$A$8,$H$57&gt;0)),COUNT(SEARCH(Sonderarbeit,$N39))&gt;=1)),C39="Ausgleich"),H39-F39,"")</f>
        <v/>
      </c>
      <c r="K39" s="166" t="str">
        <f>IF(AND(B39=Ref!$A$8,SUM(I33:I39)&lt;SUM(J33:J39)),"-","")</f>
        <v/>
      </c>
      <c r="L39" s="167" t="str">
        <f>IF(B39=Ref!$A$8,ABS(SUM(I33:I39)-SUM(J33:J39)),"")</f>
        <v/>
      </c>
      <c r="N39" s="100" t="s">
        <v>122</v>
      </c>
    </row>
    <row r="40" spans="1:14" ht="17.45" customHeight="1" x14ac:dyDescent="0.35">
      <c r="A40" s="155">
        <v>22</v>
      </c>
      <c r="B40" s="156" t="str">
        <f t="shared" si="1"/>
        <v>Dienstag</v>
      </c>
      <c r="C40" s="157">
        <v>0.35416666666666669</v>
      </c>
      <c r="D40" s="157">
        <v>0.70833333333333337</v>
      </c>
      <c r="E40" s="157">
        <v>2.0833333333333332E-2</v>
      </c>
      <c r="F40" s="158">
        <f>IF(ISTEXT(C40),,D40-C40-E40)</f>
        <v>0.33333333333333337</v>
      </c>
      <c r="G40" s="159"/>
      <c r="H40" s="160">
        <f t="shared" si="2"/>
        <v>0.33333333333333331</v>
      </c>
      <c r="I40" s="161" t="str" cm="1">
        <f t="array" ref="I40">IF(AND(F40&gt;H40,OR(AND(OR($B40&lt;&gt;Ref!$A$7,$H$56&gt;0),OR($B40&lt;&gt;Ref!$A$8,$H$57&gt;0)),COUNT(SEARCH(Sonderarbeit,$N40))&gt;=1),ISNONTEXT(C40),C40&lt;&gt;""),F40-H40,"")</f>
        <v/>
      </c>
      <c r="J40" s="162" t="str" cm="1">
        <f t="array" ref="J40">IF(OR(AND(F40&lt;H40,OR(AND(OR($B40&lt;&gt;Ref!$A$7,$H$56&gt;0),OR($B40&lt;&gt;Ref!$A$8,$H$57&gt;0)),COUNT(SEARCH(Sonderarbeit,$N40))&gt;=1)),C40="Ausgleich"),H40-F40,"")</f>
        <v/>
      </c>
      <c r="K40" s="166" t="str">
        <f>IF(AND(B40=Ref!$A$8,SUM(I34:I40)&lt;SUM(J34:J40)),"-","")</f>
        <v/>
      </c>
      <c r="L40" s="167" t="str">
        <f>IF(B40=Ref!$A$8,ABS(SUM(I34:I40)-SUM(J34:J40)),"")</f>
        <v/>
      </c>
    </row>
    <row r="41" spans="1:14" ht="17.45" customHeight="1" x14ac:dyDescent="0.35">
      <c r="A41" s="155">
        <v>23</v>
      </c>
      <c r="B41" s="156" t="str">
        <f t="shared" si="1"/>
        <v>Mittwoch</v>
      </c>
      <c r="C41" s="157">
        <v>0.35416666666666669</v>
      </c>
      <c r="D41" s="157">
        <v>0.70833333333333337</v>
      </c>
      <c r="E41" s="157">
        <v>2.0833333333333332E-2</v>
      </c>
      <c r="F41" s="158">
        <f>IF(ISTEXT(C41),,D41-C41-E41)</f>
        <v>0.33333333333333337</v>
      </c>
      <c r="G41" s="159"/>
      <c r="H41" s="160">
        <f t="shared" si="2"/>
        <v>0.33333333333333331</v>
      </c>
      <c r="I41" s="161" t="str" cm="1">
        <f t="array" ref="I41">IF(AND(F41&gt;H41,OR(AND(OR($B41&lt;&gt;Ref!$A$7,$H$56&gt;0),OR($B41&lt;&gt;Ref!$A$8,$H$57&gt;0)),COUNT(SEARCH(Sonderarbeit,$N41))&gt;=1),ISNONTEXT(C41),C41&lt;&gt;""),F41-H41,"")</f>
        <v/>
      </c>
      <c r="J41" s="162" t="str" cm="1">
        <f t="array" ref="J41">IF(OR(AND(F41&lt;H41,OR(AND(OR($B41&lt;&gt;Ref!$A$7,$H$56&gt;0),OR($B41&lt;&gt;Ref!$A$8,$H$57&gt;0)),COUNT(SEARCH(Sonderarbeit,$N41))&gt;=1)),C41="Ausgleich"),H41-F41,"")</f>
        <v/>
      </c>
      <c r="K41" s="166" t="str">
        <f>IF(AND(B41=Ref!$A$8,SUM(I35:I41)&lt;SUM(J35:J41)),"-","")</f>
        <v/>
      </c>
      <c r="L41" s="167" t="str">
        <f>IF(B41=Ref!$A$8,ABS(SUM(I35:I41)-SUM(J35:J41)),"")</f>
        <v/>
      </c>
    </row>
    <row r="42" spans="1:14" ht="17.45" customHeight="1" x14ac:dyDescent="0.35">
      <c r="A42" s="155">
        <v>24</v>
      </c>
      <c r="B42" s="156" t="str">
        <f t="shared" si="1"/>
        <v>Donnerstag</v>
      </c>
      <c r="C42" s="157" t="s">
        <v>89</v>
      </c>
      <c r="D42" s="157">
        <v>0.70833333333333337</v>
      </c>
      <c r="E42" s="157">
        <v>2.0833333333333332E-2</v>
      </c>
      <c r="F42" s="158">
        <f>IF(ISTEXT(C42),,D42-C42-E42)</f>
        <v>0</v>
      </c>
      <c r="G42" s="159"/>
      <c r="H42" s="160">
        <f t="shared" si="2"/>
        <v>0</v>
      </c>
      <c r="I42" s="161" t="str" cm="1">
        <f t="array" ref="I42">IF(AND(F42&gt;H42,OR(AND(OR($B42&lt;&gt;Ref!$A$7,$H$56&gt;0),OR($B42&lt;&gt;Ref!$A$8,$H$57&gt;0)),COUNT(SEARCH(Sonderarbeit,$N42))&gt;=1),ISNONTEXT(C42),C42&lt;&gt;""),F42-H42,"")</f>
        <v/>
      </c>
      <c r="J42" s="162" t="str" cm="1">
        <f t="array" ref="J42">IF(OR(AND(F42&lt;H42,OR(AND(OR($B42&lt;&gt;Ref!$A$7,$H$56&gt;0),OR($B42&lt;&gt;Ref!$A$8,$H$57&gt;0)),COUNT(SEARCH(Sonderarbeit,$N42))&gt;=1)),C42="Ausgleich"),H42-F42,"")</f>
        <v/>
      </c>
      <c r="K42" s="166" t="str">
        <f>IF(AND(B42=Ref!$A$8,SUM(I36:I42)&lt;SUM(J36:J42)),"-","")</f>
        <v/>
      </c>
      <c r="L42" s="167" t="str">
        <f>IF(B42=Ref!$A$8,ABS(SUM(I36:I42)-SUM(J36:J42)),"")</f>
        <v/>
      </c>
      <c r="N42" s="100" t="s">
        <v>117</v>
      </c>
    </row>
    <row r="43" spans="1:14" ht="17.45" customHeight="1" x14ac:dyDescent="0.35">
      <c r="A43" s="155">
        <v>25</v>
      </c>
      <c r="B43" s="156" t="str">
        <f t="shared" si="1"/>
        <v>Freitag</v>
      </c>
      <c r="C43" s="157" t="s">
        <v>88</v>
      </c>
      <c r="D43" s="157">
        <v>0.70833333333333337</v>
      </c>
      <c r="E43" s="157">
        <v>2.0833333333333332E-2</v>
      </c>
      <c r="F43" s="158">
        <f>IF(ISTEXT(C43),,D43-C43-E43)</f>
        <v>0</v>
      </c>
      <c r="G43" s="159"/>
      <c r="H43" s="160">
        <f t="shared" si="2"/>
        <v>0</v>
      </c>
      <c r="I43" s="161" t="str" cm="1">
        <f t="array" ref="I43">IF(AND(F43&gt;H43,OR(AND(OR($B43&lt;&gt;Ref!$A$7,$H$56&gt;0),OR($B43&lt;&gt;Ref!$A$8,$H$57&gt;0)),COUNT(SEARCH(Sonderarbeit,$N43))&gt;=1),ISNONTEXT(C43),C43&lt;&gt;""),F43-H43,"")</f>
        <v/>
      </c>
      <c r="J43" s="162" t="str" cm="1">
        <f t="array" ref="J43">IF(OR(AND(F43&lt;H43,OR(AND(OR($B43&lt;&gt;Ref!$A$7,$H$56&gt;0),OR($B43&lt;&gt;Ref!$A$8,$H$57&gt;0)),COUNT(SEARCH(Sonderarbeit,$N43))&gt;=1)),C43="Ausgleich"),H43-F43,"")</f>
        <v/>
      </c>
      <c r="K43" s="166" t="str">
        <f>IF(AND(B43=Ref!$A$8,SUM(I37:I43)&lt;SUM(J37:J43)),"-","")</f>
        <v/>
      </c>
      <c r="L43" s="167" t="str">
        <f>IF(B43=Ref!$A$8,ABS(SUM(I37:I43)-SUM(J37:J43)),"")</f>
        <v/>
      </c>
    </row>
    <row r="44" spans="1:14" ht="17.45" customHeight="1" x14ac:dyDescent="0.35">
      <c r="A44" s="155">
        <v>26</v>
      </c>
      <c r="B44" s="156" t="str">
        <f t="shared" si="1"/>
        <v>Samstag</v>
      </c>
      <c r="C44" s="157" t="s">
        <v>88</v>
      </c>
      <c r="D44" s="157">
        <v>0.70833333333333337</v>
      </c>
      <c r="E44" s="157">
        <v>2.0833333333333332E-2</v>
      </c>
      <c r="F44" s="158">
        <f>IF(ISTEXT(C44),,D44-C44-E44)</f>
        <v>0</v>
      </c>
      <c r="G44" s="159"/>
      <c r="H44" s="160">
        <f t="shared" si="2"/>
        <v>0</v>
      </c>
      <c r="I44" s="161" t="str" cm="1">
        <f t="array" ref="I44">IF(AND(F44&gt;H44,OR(AND(OR($B44&lt;&gt;Ref!$A$7,$H$56&gt;0),OR($B44&lt;&gt;Ref!$A$8,$H$57&gt;0)),COUNT(SEARCH(Sonderarbeit,$N44))&gt;=1),ISNONTEXT(C44),C44&lt;&gt;""),F44-H44,"")</f>
        <v/>
      </c>
      <c r="J44" s="162" t="str" cm="1">
        <f t="array" ref="J44">IF(OR(AND(F44&lt;H44,OR(AND(OR($B44&lt;&gt;Ref!$A$7,$H$56&gt;0),OR($B44&lt;&gt;Ref!$A$8,$H$57&gt;0)),COUNT(SEARCH(Sonderarbeit,$N44))&gt;=1)),C44="Ausgleich"),H44-F44,"")</f>
        <v/>
      </c>
      <c r="K44" s="166" t="str">
        <f>IF(AND(B44=Ref!$A$8,SUM(I38:I44)&lt;SUM(J38:J44)),"-","")</f>
        <v/>
      </c>
      <c r="L44" s="167" t="str">
        <f>IF(B44=Ref!$A$8,ABS(SUM(I38:I44)-SUM(J38:J44)),"")</f>
        <v/>
      </c>
    </row>
    <row r="45" spans="1:14" ht="17.45" customHeight="1" x14ac:dyDescent="0.35">
      <c r="A45" s="155">
        <v>27</v>
      </c>
      <c r="B45" s="156" t="str">
        <f t="shared" si="1"/>
        <v>Sonntag</v>
      </c>
      <c r="C45" s="157">
        <v>0.35416666666666669</v>
      </c>
      <c r="D45" s="157">
        <v>0.70833333333333337</v>
      </c>
      <c r="E45" s="157">
        <v>2.0833333333333332E-2</v>
      </c>
      <c r="F45" s="158">
        <f>IF(ISTEXT(C45),,D45-C45-E45)</f>
        <v>0.33333333333333337</v>
      </c>
      <c r="G45" s="159"/>
      <c r="H45" s="160">
        <f t="shared" si="2"/>
        <v>0</v>
      </c>
      <c r="I45" s="161" t="str" cm="1">
        <f t="array" ref="I45">IF(AND(F45&gt;H45,OR(AND(OR($B45&lt;&gt;Ref!$A$7,$H$56&gt;0),OR($B45&lt;&gt;Ref!$A$8,$H$57&gt;0)),COUNT(SEARCH(Sonderarbeit,$N45))&gt;=1),ISNONTEXT(C45),C45&lt;&gt;""),F45-H45,"")</f>
        <v/>
      </c>
      <c r="J45" s="162" t="str" cm="1">
        <f t="array" ref="J45">IF(OR(AND(F45&lt;H45,OR(AND(OR($B45&lt;&gt;Ref!$A$7,$H$56&gt;0),OR($B45&lt;&gt;Ref!$A$8,$H$57&gt;0)),COUNT(SEARCH(Sonderarbeit,$N45))&gt;=1)),C45="Ausgleich"),H45-F45,"")</f>
        <v/>
      </c>
      <c r="K45" s="166" t="str">
        <f>IF(AND(B45=Ref!$A$8,SUM(I39:I45)&lt;SUM(J39:J45)),"-","")</f>
        <v/>
      </c>
      <c r="L45" s="167">
        <f>IF(B45=Ref!$A$8,ABS(SUM(I39:I45)-SUM(J39:J45)),"")</f>
        <v>0</v>
      </c>
    </row>
    <row r="46" spans="1:14" ht="17.45" customHeight="1" x14ac:dyDescent="0.35">
      <c r="A46" s="155">
        <v>28</v>
      </c>
      <c r="B46" s="156" t="str">
        <f t="shared" si="1"/>
        <v>Montag</v>
      </c>
      <c r="C46" s="157">
        <v>0.35416666666666669</v>
      </c>
      <c r="D46" s="157">
        <v>0.70833333333333337</v>
      </c>
      <c r="E46" s="157">
        <v>2.0833333333333332E-2</v>
      </c>
      <c r="F46" s="158">
        <f>IF(ISTEXT(C46),,D46-C46-E46)</f>
        <v>0.33333333333333337</v>
      </c>
      <c r="G46" s="159"/>
      <c r="H46" s="160">
        <f t="shared" si="2"/>
        <v>0.33333333333333331</v>
      </c>
      <c r="I46" s="161" t="str" cm="1">
        <f t="array" ref="I46">IF(AND(F46&gt;H46,OR(AND(OR($B46&lt;&gt;Ref!$A$7,$H$56&gt;0),OR($B46&lt;&gt;Ref!$A$8,$H$57&gt;0)),COUNT(SEARCH(Sonderarbeit,$N46))&gt;=1),ISNONTEXT(C46),C46&lt;&gt;""),F46-H46,"")</f>
        <v/>
      </c>
      <c r="J46" s="162" t="str" cm="1">
        <f t="array" ref="J46">IF(OR(AND(F46&lt;H46,OR(AND(OR($B46&lt;&gt;Ref!$A$7,$H$56&gt;0),OR($B46&lt;&gt;Ref!$A$8,$H$57&gt;0)),COUNT(SEARCH(Sonderarbeit,$N46))&gt;=1)),C46="Ausgleich"),H46-F46,"")</f>
        <v/>
      </c>
      <c r="K46" s="166" t="str">
        <f>IF(AND(B46=Ref!$A$8,SUM(I40:I46)&lt;SUM(J40:J46)),"-","")</f>
        <v/>
      </c>
      <c r="L46" s="167" t="str">
        <f>IF(B46=Ref!$A$8,ABS(SUM(I40:I46)-SUM(J40:J46)),"")</f>
        <v/>
      </c>
    </row>
    <row r="47" spans="1:14" ht="17.45" customHeight="1" x14ac:dyDescent="0.35">
      <c r="A47" s="155">
        <v>29</v>
      </c>
      <c r="B47" s="156" t="str">
        <f t="shared" si="1"/>
        <v>Dienstag</v>
      </c>
      <c r="C47" s="157">
        <v>0.35416666666666669</v>
      </c>
      <c r="D47" s="157">
        <v>0.70833333333333337</v>
      </c>
      <c r="E47" s="157">
        <v>2.0833333333333332E-2</v>
      </c>
      <c r="F47" s="158">
        <f>IF(ISTEXT(C47),,D47-C47-E47)</f>
        <v>0.33333333333333337</v>
      </c>
      <c r="G47" s="159"/>
      <c r="H47" s="160">
        <f t="shared" si="2"/>
        <v>0.33333333333333331</v>
      </c>
      <c r="I47" s="161" t="str" cm="1">
        <f t="array" ref="I47">IF(AND(F47&gt;H47,OR(AND(OR($B47&lt;&gt;Ref!$A$7,$H$56&gt;0),OR($B47&lt;&gt;Ref!$A$8,$H$57&gt;0)),COUNT(SEARCH(Sonderarbeit,$N47))&gt;=1),ISNONTEXT(C47),C47&lt;&gt;""),F47-H47,"")</f>
        <v/>
      </c>
      <c r="J47" s="162" t="str" cm="1">
        <f t="array" ref="J47">IF(OR(AND(F47&lt;H47,OR(AND(OR($B47&lt;&gt;Ref!$A$7,$H$56&gt;0),OR($B47&lt;&gt;Ref!$A$8,$H$57&gt;0)),COUNT(SEARCH(Sonderarbeit,$N47))&gt;=1)),C47="Ausgleich"),H47-F47,"")</f>
        <v/>
      </c>
      <c r="K47" s="166" t="str">
        <f>IF(AND(B47=Ref!$A$8,SUM(I41:I47)&lt;SUM(J41:J47)),"-","")</f>
        <v/>
      </c>
      <c r="L47" s="167" t="str">
        <f>IF(B47=Ref!$A$8,ABS(SUM(I41:I47)-SUM(J41:J47)),"")</f>
        <v/>
      </c>
    </row>
    <row r="48" spans="1:14" ht="17.45" customHeight="1" x14ac:dyDescent="0.35">
      <c r="A48" s="155">
        <v>30</v>
      </c>
      <c r="B48" s="156" t="str">
        <f t="shared" si="1"/>
        <v>Mittwoch</v>
      </c>
      <c r="C48" s="157">
        <v>0.35416666666666669</v>
      </c>
      <c r="D48" s="157">
        <v>0.70833333333333337</v>
      </c>
      <c r="E48" s="157">
        <v>2.0833333333333332E-2</v>
      </c>
      <c r="F48" s="158">
        <f>IF(ISTEXT(C48),,D48-C48-E48)</f>
        <v>0.33333333333333337</v>
      </c>
      <c r="G48" s="159"/>
      <c r="H48" s="160">
        <f t="shared" si="2"/>
        <v>0.33333333333333331</v>
      </c>
      <c r="I48" s="161" t="str" cm="1">
        <f t="array" ref="I48">IF(AND(F48&gt;H48,OR(AND(OR($B48&lt;&gt;Ref!$A$7,$H$56&gt;0),OR($B48&lt;&gt;Ref!$A$8,$H$57&gt;0)),COUNT(SEARCH(Sonderarbeit,$N48))&gt;=1),ISNONTEXT(C48),C48&lt;&gt;""),F48-H48,"")</f>
        <v/>
      </c>
      <c r="J48" s="162" t="str" cm="1">
        <f t="array" ref="J48">IF(OR(AND(F48&lt;H48,OR(AND(OR($B48&lt;&gt;Ref!$A$7,$H$56&gt;0),OR($B48&lt;&gt;Ref!$A$8,$H$57&gt;0)),COUNT(SEARCH(Sonderarbeit,$N48))&gt;=1)),C48="Ausgleich"),H48-F48,"")</f>
        <v/>
      </c>
      <c r="K48" s="166" t="str">
        <f>IF(AND(B48=Ref!$A$8,SUM(I42:I48)&lt;SUM(J42:J48)),"-","")</f>
        <v/>
      </c>
      <c r="L48" s="167" t="str">
        <f>IF(B48=Ref!$A$8,ABS(SUM(I42:I48)-SUM(J42:J48)),"")</f>
        <v/>
      </c>
    </row>
    <row r="49" spans="1:14" ht="17.45" customHeight="1" x14ac:dyDescent="0.35">
      <c r="A49" s="155">
        <v>31</v>
      </c>
      <c r="B49" s="156" t="str">
        <f t="shared" si="1"/>
        <v>Donnerstag</v>
      </c>
      <c r="C49" s="157" t="s">
        <v>109</v>
      </c>
      <c r="D49" s="157">
        <v>0.70833333333333337</v>
      </c>
      <c r="E49" s="157">
        <v>2.0833333333333332E-2</v>
      </c>
      <c r="F49" s="170">
        <f>IF(ISTEXT(C49),,D49-C49-E49)</f>
        <v>0</v>
      </c>
      <c r="G49" s="171"/>
      <c r="H49" s="160">
        <f t="shared" si="2"/>
        <v>0</v>
      </c>
      <c r="I49" s="161" t="str" cm="1">
        <f t="array" ref="I49">IF(AND(F49&gt;H49,OR(AND(OR($B49&lt;&gt;Ref!$A$7,$H$56&gt;0),OR($B49&lt;&gt;Ref!$A$8,$H$57&gt;0)),COUNT(SEARCH(Sonderarbeit,$N49))&gt;=1),ISNONTEXT(C49),C49&lt;&gt;""),F49-H49,"")</f>
        <v/>
      </c>
      <c r="J49" s="162" t="str" cm="1">
        <f t="array" ref="J49">IF(OR(AND(F49&lt;H49,OR(AND(OR($B49&lt;&gt;Ref!$A$7,$H$56&gt;0),OR($B49&lt;&gt;Ref!$A$8,$H$57&gt;0)),COUNT(SEARCH(Sonderarbeit,$N49))&gt;=1)),C49="Ausgleich"),H49-F49,"")</f>
        <v/>
      </c>
      <c r="K49" s="172" t="str">
        <f ca="1">IF(SUM(INDIRECT("I"&amp;ROW()-WEEKDAY(DATE(J$11,MONTH(I$11),A49),3)):I49) &lt; SUM(INDIRECT("j"&amp;ROW()-WEEKDAY(DATE(J$11,MONTH(I$11),A49),3)):J49),"-","")</f>
        <v/>
      </c>
      <c r="L49" s="173">
        <f ca="1">ABS(SUM(INDIRECT("I"&amp;ROW()-WEEKDAY(DATE(J$11,MONTH(I$11),A49),3)):I49)-SUM(INDIRECT("j"&amp;ROW()-WEEKDAY(DATE(J$11,MONTH(I$11),A49))):J49))</f>
        <v>0</v>
      </c>
      <c r="N49" s="174" t="s">
        <v>117</v>
      </c>
    </row>
    <row r="50" spans="1:14" s="183" customFormat="1" ht="17.45" customHeight="1" thickBot="1" x14ac:dyDescent="0.4">
      <c r="A50" s="175" t="str">
        <f>Jan!A50</f>
        <v>Sonstige Zeiten laut beigefügter Aufstellung (s. Anlage):</v>
      </c>
      <c r="B50" s="176"/>
      <c r="C50" s="177"/>
      <c r="D50" s="178"/>
      <c r="E50" s="178"/>
      <c r="F50" s="178"/>
      <c r="G50" s="178"/>
      <c r="H50" s="179"/>
      <c r="I50" s="180">
        <v>0</v>
      </c>
      <c r="J50" s="180">
        <v>0</v>
      </c>
      <c r="K50" s="181"/>
      <c r="L50" s="182"/>
      <c r="M50" s="99"/>
      <c r="N50" s="100"/>
    </row>
    <row r="51" spans="1:14" x14ac:dyDescent="0.2">
      <c r="A51" s="184" t="s">
        <v>3</v>
      </c>
      <c r="B51" s="184"/>
      <c r="C51" s="184"/>
      <c r="D51" s="184"/>
      <c r="H51" s="280">
        <f>Nov!H50</f>
        <v>0.33333333333333331</v>
      </c>
      <c r="I51" s="185">
        <f>SUM(I17:I50)</f>
        <v>1.6875000000000044</v>
      </c>
      <c r="J51" s="186">
        <f>SUM(J17:J50)</f>
        <v>0</v>
      </c>
      <c r="K51" s="187" t="str">
        <f ca="1">IF(SUMIF(K19:K49,"",L19:L49)&lt;SUMIF(K19:K49,"-",L19:L49),"-","")</f>
        <v/>
      </c>
      <c r="L51" s="188">
        <f ca="1">ABS(SUMIF(K19:K49,"",L19:L49)-SUMIF(K19:K49,"-",L19:L49))</f>
        <v>6.2500000000000111E-2</v>
      </c>
    </row>
    <row r="52" spans="1:14" ht="13.5" thickBot="1" x14ac:dyDescent="0.25">
      <c r="A52" s="189"/>
      <c r="B52" s="189"/>
      <c r="C52" s="189"/>
      <c r="D52" s="189"/>
      <c r="G52" s="190" t="s">
        <v>12</v>
      </c>
      <c r="H52" s="281">
        <f>Nov!H51</f>
        <v>0.33333333333333331</v>
      </c>
      <c r="I52" s="191"/>
      <c r="J52" s="192"/>
      <c r="K52" s="193"/>
      <c r="L52" s="194"/>
    </row>
    <row r="53" spans="1:14" x14ac:dyDescent="0.2">
      <c r="A53" s="189"/>
      <c r="B53" s="189"/>
      <c r="C53" s="189"/>
      <c r="D53" s="189"/>
      <c r="G53" s="195"/>
      <c r="H53" s="281">
        <f>Nov!H52</f>
        <v>0.33333333333333331</v>
      </c>
      <c r="I53" s="196">
        <f>IF(I51&gt;J51,I51-J51, 0)</f>
        <v>1.6875000000000044</v>
      </c>
      <c r="J53" s="197" t="str">
        <f>IF(J51&gt;I51,J51-I51,"")</f>
        <v/>
      </c>
      <c r="K53" s="198"/>
      <c r="L53" s="198"/>
    </row>
    <row r="54" spans="1:14" ht="13.5" thickBot="1" x14ac:dyDescent="0.25">
      <c r="A54" s="199" t="s">
        <v>15</v>
      </c>
      <c r="B54" s="199"/>
      <c r="C54" s="199"/>
      <c r="D54" s="199"/>
      <c r="E54" s="200"/>
      <c r="F54" s="200"/>
      <c r="G54" s="190" t="s">
        <v>13</v>
      </c>
      <c r="H54" s="281">
        <f>Nov!H53</f>
        <v>0.33333333333333331</v>
      </c>
      <c r="I54" s="201"/>
      <c r="J54" s="202"/>
      <c r="K54" s="198"/>
      <c r="L54" s="198"/>
    </row>
    <row r="55" spans="1:14" ht="13.5" thickBot="1" x14ac:dyDescent="0.25">
      <c r="A55" s="203" t="s">
        <v>4</v>
      </c>
      <c r="B55" s="203"/>
      <c r="C55" s="203"/>
      <c r="D55" s="203"/>
      <c r="E55" s="200"/>
      <c r="F55" s="200"/>
      <c r="G55" s="200"/>
      <c r="H55" s="281">
        <f>Nov!H54</f>
        <v>0.3125</v>
      </c>
      <c r="I55" s="200"/>
      <c r="J55" s="200"/>
      <c r="K55" s="204"/>
      <c r="L55" s="204"/>
    </row>
    <row r="56" spans="1:14" ht="13.35" customHeight="1" x14ac:dyDescent="0.2">
      <c r="A56" s="189"/>
      <c r="B56" s="189"/>
      <c r="C56" s="189"/>
      <c r="D56" s="189"/>
      <c r="E56" s="205" t="str">
        <f>Jan!E56</f>
        <v xml:space="preserve"> </v>
      </c>
      <c r="F56" s="206"/>
      <c r="G56" s="207" t="str">
        <f>IF(E56=" ", " ", IF(Mantelbogen!D26=I11,Mantelbogen!C29,Nov!G57))</f>
        <v xml:space="preserve"> </v>
      </c>
      <c r="H56" s="282">
        <v>0</v>
      </c>
      <c r="I56" s="223" t="s">
        <v>133</v>
      </c>
      <c r="J56" s="224"/>
      <c r="K56" s="204"/>
      <c r="L56" s="204"/>
    </row>
    <row r="57" spans="1:14" ht="13.5" thickBot="1" x14ac:dyDescent="0.25">
      <c r="A57" s="189"/>
      <c r="B57" s="189"/>
      <c r="C57" s="189"/>
      <c r="D57" s="189"/>
      <c r="E57" s="205" t="str">
        <f>Jan!E57</f>
        <v xml:space="preserve"> </v>
      </c>
      <c r="F57" s="207"/>
      <c r="G57" s="207" t="str">
        <f>IF(E56=" ", " ", -COUNTIF(C19:C49, "Urlaub*" ))</f>
        <v xml:space="preserve"> </v>
      </c>
      <c r="H57" s="283">
        <v>0</v>
      </c>
      <c r="I57" s="225"/>
      <c r="J57" s="226"/>
      <c r="K57" s="204"/>
      <c r="L57" s="208"/>
      <c r="M57" s="209"/>
    </row>
    <row r="58" spans="1:14" ht="21.95" customHeight="1" thickBot="1" x14ac:dyDescent="0.25">
      <c r="A58" s="199" t="s">
        <v>10</v>
      </c>
      <c r="B58" s="199"/>
      <c r="C58" s="199"/>
      <c r="D58" s="199"/>
      <c r="E58" s="205" t="str">
        <f>Jan!E58</f>
        <v xml:space="preserve"> </v>
      </c>
      <c r="F58" s="210"/>
      <c r="G58" s="211" t="str">
        <f>IF(E56=" ", " ", IF(Mantelbogen!C29 &gt; 0.0001, G56+G57, 0))</f>
        <v xml:space="preserve"> </v>
      </c>
      <c r="H58" s="287">
        <f>SUM(H51:H57)</f>
        <v>1.6458333333333333</v>
      </c>
      <c r="I58" s="227"/>
      <c r="J58" s="228"/>
      <c r="L58" s="212" t="str">
        <f>Mantelbogen!D50</f>
        <v>15.12.2025  HAdW / G. Wolff</v>
      </c>
      <c r="M58" s="209"/>
    </row>
    <row r="59" spans="1:14" x14ac:dyDescent="0.2">
      <c r="F59" s="213"/>
    </row>
    <row r="60" spans="1:14" x14ac:dyDescent="0.2">
      <c r="G60" s="214"/>
      <c r="H60" s="214"/>
      <c r="I60" s="214"/>
      <c r="J60" s="207"/>
    </row>
  </sheetData>
  <sheetProtection algorithmName="SHA-512" hashValue="2ek8mUPsO7V19JfIVS/lSOMGvaBVH5v3f8h6V4Mbj2wwgc5L/2SaF2Tj3nBcnsGFVhcZRnQPFP4LfWasdar7bA==" saltValue="36EIGgagUE1qLNZBuwV2UQ==" spinCount="100000" sheet="1" objects="1" scenarios="1"/>
  <mergeCells count="64">
    <mergeCell ref="A1:F2"/>
    <mergeCell ref="A3:F3"/>
    <mergeCell ref="A4:F6"/>
    <mergeCell ref="M15:M16"/>
    <mergeCell ref="F24:G24"/>
    <mergeCell ref="F25:G25"/>
    <mergeCell ref="F20:G20"/>
    <mergeCell ref="F19:G19"/>
    <mergeCell ref="F22:G22"/>
    <mergeCell ref="F23:G23"/>
    <mergeCell ref="F21:G21"/>
    <mergeCell ref="F26:G26"/>
    <mergeCell ref="F29:G29"/>
    <mergeCell ref="F30:G30"/>
    <mergeCell ref="G60:I60"/>
    <mergeCell ref="F49:G49"/>
    <mergeCell ref="F32:G32"/>
    <mergeCell ref="F33:G33"/>
    <mergeCell ref="F34:G34"/>
    <mergeCell ref="F31:G31"/>
    <mergeCell ref="F27:G27"/>
    <mergeCell ref="F28:G28"/>
    <mergeCell ref="F42:G42"/>
    <mergeCell ref="F43:G43"/>
    <mergeCell ref="F36:G36"/>
    <mergeCell ref="F37:G37"/>
    <mergeCell ref="F38:G38"/>
    <mergeCell ref="G1:J7"/>
    <mergeCell ref="I15:J15"/>
    <mergeCell ref="I17:I18"/>
    <mergeCell ref="J17:J18"/>
    <mergeCell ref="C15:C18"/>
    <mergeCell ref="D15:D18"/>
    <mergeCell ref="E15:E18"/>
    <mergeCell ref="F15:G18"/>
    <mergeCell ref="H15:H18"/>
    <mergeCell ref="A11:B11"/>
    <mergeCell ref="A13:B13"/>
    <mergeCell ref="A15:A18"/>
    <mergeCell ref="B15:B18"/>
    <mergeCell ref="F39:G39"/>
    <mergeCell ref="F35:G35"/>
    <mergeCell ref="A56:D57"/>
    <mergeCell ref="I56:J58"/>
    <mergeCell ref="A58:D58"/>
    <mergeCell ref="J53:J54"/>
    <mergeCell ref="I53:I54"/>
    <mergeCell ref="A55:D55"/>
    <mergeCell ref="K15:L16"/>
    <mergeCell ref="K17:L18"/>
    <mergeCell ref="K51:K52"/>
    <mergeCell ref="L51:L52"/>
    <mergeCell ref="A54:D54"/>
    <mergeCell ref="F44:G44"/>
    <mergeCell ref="F45:G45"/>
    <mergeCell ref="F46:G46"/>
    <mergeCell ref="F47:G47"/>
    <mergeCell ref="F48:G48"/>
    <mergeCell ref="A51:D51"/>
    <mergeCell ref="I51:I52"/>
    <mergeCell ref="J51:J52"/>
    <mergeCell ref="A52:D53"/>
    <mergeCell ref="F40:G40"/>
    <mergeCell ref="F41:G41"/>
  </mergeCells>
  <phoneticPr fontId="0" type="noConversion"/>
  <conditionalFormatting sqref="A19:A49 C19:L49">
    <cfRule type="expression" dxfId="51" priority="1">
      <formula>COUNT(SEARCH(Sonderarbeit,$N19))&gt;=1</formula>
    </cfRule>
  </conditionalFormatting>
  <conditionalFormatting sqref="A19:L49">
    <cfRule type="expression" dxfId="50" priority="5">
      <formula>AND(ISTEXT($C19),$C19&lt;&gt;"Kinderkrankentag",$C19&lt;&gt;"Urlaub",$C19&lt;&gt;"Krank",$C19&lt;&gt;"Ausgleich")</formula>
    </cfRule>
  </conditionalFormatting>
  <conditionalFormatting sqref="C19:C49">
    <cfRule type="expression" dxfId="48" priority="7">
      <formula>ISTEXT($C19)</formula>
    </cfRule>
  </conditionalFormatting>
  <conditionalFormatting sqref="D19:H49">
    <cfRule type="expression" dxfId="44" priority="4">
      <formula>AND(ISTEXT($C19),OR($C19="Kinderkrankentag",$C19="Urlaub",$C19="Krank",$C19="Ausgleich"))</formula>
    </cfRule>
  </conditionalFormatting>
  <conditionalFormatting sqref="D19:J49">
    <cfRule type="expression" dxfId="43" priority="3">
      <formula>AND(ISTEXT($C19),$C19&lt;&gt;"Kinderkrankentag",$C19&lt;&gt;"Urlaub",$C19&lt;&gt;"Krank",$C19&lt;&gt;"Ausgleich")</formula>
    </cfRule>
  </conditionalFormatting>
  <conditionalFormatting sqref="F19:F49">
    <cfRule type="expression" dxfId="41" priority="11">
      <formula>AND(ISNONTEXT($C19),$F19 &gt; 0.666667)</formula>
    </cfRule>
  </conditionalFormatting>
  <dataValidations count="1">
    <dataValidation type="custom" errorStyle="warning" allowBlank="1" showErrorMessage="1" errorTitle="Samstagsarbeit" error="Tragen Sie hier bitte nur etwas ein, wenn Sie tatsächlich REGELMÄßIG und angeordnet Samstag arbeiten. Ansonsten tragen Sie bitte am entsprechenden Tag in Spalte N „Samstagsarbeit“ ein und der entsprechende Tag wird verfügbar." promptTitle="Samstagsarbeit" prompt="Tragen Sie hier bitte nur etwas ein, wenn Sie tatsächlich REGELMÄßIG und angeordnet Samstag arbeiten. Ansonsten tragen Sie bitte am entsprechenden Tag in Spalte N „Samstagsarbeit“ ein und der entsprechende Tag wird verfügbar." sqref="H56" xr:uid="{E4D3575C-AAF7-453D-B68A-279FF5ACE1A5}">
      <formula1>$A$4="Arbeitszeitblatt"</formula1>
    </dataValidation>
  </dataValidations>
  <printOptions horizontalCentered="1" verticalCentered="1"/>
  <pageMargins left="1.0236220472440944" right="0.23622047244094491" top="0.15748031496062992" bottom="0.19685039370078741" header="0.15748031496062992" footer="0.15748031496062992"/>
  <pageSetup paperSize="9" scale="81" orientation="portrait" horizontalDpi="1200" verticalDpi="1200"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 id="{E574AC98-36C3-48F8-A780-3CCCE1B5FDB0}">
            <xm:f>OR(AND($B19=Ref!$A$7,$H$56=0), AND($B19=Ref!$A$8,$H$57=0), NOT( ISERROR(FIND("feiertag",LOWER($C19)) ) ) )</xm:f>
            <x14:dxf>
              <fill>
                <patternFill patternType="solid">
                  <bgColor theme="4" tint="0.79998168889431442"/>
                </patternFill>
              </fill>
            </x14:dxf>
          </x14:cfRule>
          <xm:sqref>A19:L49</xm:sqref>
        </x14:conditionalFormatting>
        <x14:conditionalFormatting xmlns:xm="http://schemas.microsoft.com/office/excel/2006/main">
          <x14:cfRule type="expression" priority="9" id="{03E4D689-4004-4559-82DC-453EC34057CF}">
            <xm:f>AND($B19=Ref!$A$7, $H$56&gt;0.00001)</xm:f>
            <x14:dxf>
              <font>
                <b val="0"/>
                <i val="0"/>
                <color theme="1"/>
              </font>
              <fill>
                <patternFill patternType="none">
                  <bgColor auto="1"/>
                </patternFill>
              </fill>
            </x14:dxf>
          </x14:cfRule>
          <x14:cfRule type="expression" priority="10" id="{154DC6FF-B619-4FFA-97CD-2A66103262A5}">
            <xm:f>AND($B19=Ref!$A$8, $H$57&gt;0.00001)</xm:f>
            <x14:dxf>
              <font>
                <b val="0"/>
                <i val="0"/>
              </font>
              <fill>
                <patternFill patternType="none">
                  <bgColor auto="1"/>
                </patternFill>
              </fill>
            </x14:dxf>
          </x14:cfRule>
          <xm:sqref>C19:I49</xm:sqref>
        </x14:conditionalFormatting>
        <x14:conditionalFormatting xmlns:xm="http://schemas.microsoft.com/office/excel/2006/main">
          <x14:cfRule type="expression" priority="8" id="{6A143AF9-586E-40A3-9835-0A363B1DAFFD}">
            <xm:f>OR(AND($B19=Ref!$A$7, $H$56&lt;0.00001),AND($B19=Ref!$A$8, $H$57&lt;0.00001))</xm:f>
            <x14:dxf>
              <font>
                <color theme="4" tint="0.79998168889431442"/>
              </font>
              <fill>
                <patternFill>
                  <bgColor theme="4" tint="0.79998168889431442"/>
                </patternFill>
              </fill>
            </x14:dxf>
          </x14:cfRule>
          <xm:sqref>C19:J49</xm:sqref>
        </x14:conditionalFormatting>
        <x14:conditionalFormatting xmlns:xm="http://schemas.microsoft.com/office/excel/2006/main">
          <x14:cfRule type="expression" priority="2" id="{10B571CC-7D56-40CE-AB70-D263E7EAAF34}">
            <xm:f>AND(OR(AND($F19 &gt; 0.250001, $E19 &lt; 0.020833332), AND($F19 &gt; 0.375, $E19 &lt; 0.03124999)  ),OR(AND($B19&lt;&gt;Ref!$A$7, $B19&lt;&gt;Ref!$A$8),COUNT(SEARCH(Sonderarbeit,$N19))&gt;=1),ISNUMBER($C19))</xm:f>
            <x14:dxf>
              <fill>
                <patternFill>
                  <bgColor rgb="FFFF0000"/>
                </patternFill>
              </fill>
            </x14:dxf>
          </x14:cfRule>
          <xm:sqref>E19:E49</xm:sqref>
        </x14:conditionalFormatting>
      </x14:conditionalFormattings>
    </ext>
    <ext xmlns:x14="http://schemas.microsoft.com/office/spreadsheetml/2009/9/main" uri="{CCE6A557-97BC-4b89-ADB6-D9C93CAAB3DF}">
      <x14:dataValidations xmlns:xm="http://schemas.microsoft.com/office/excel/2006/main" count="1">
        <x14:dataValidation type="custom" errorStyle="information" allowBlank="1" showInputMessage="1" showErrorMessage="1" errorTitle="Samstagsarbeit" error="Tragen Sie hier bitte nur die tasächlich angefallene Arbeit ein. Tragen Sie ggf. anfallende Zuschläge auf ein separates Tabellenblatt ein und übertragen diese in das Kästchen I50." xr:uid="{19F7DE5D-3327-4242-A6C2-04A2A7A6EEA6}">
          <x14:formula1>
            <xm:f>NOT(OFFSET(C19,0,2-COLUMN(C19))=Ref!$A$7)</xm:f>
          </x14:formula1>
          <xm:sqref>C19:E49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8BCD6-E205-4C52-BB09-F5C3CD3F35F8}">
  <sheetPr codeName="Sheet2"/>
  <dimension ref="A1:F21"/>
  <sheetViews>
    <sheetView tabSelected="1" workbookViewId="0">
      <selection sqref="A1:F16"/>
    </sheetView>
  </sheetViews>
  <sheetFormatPr defaultRowHeight="12.75" x14ac:dyDescent="0.2"/>
  <cols>
    <col min="1" max="1" width="17" bestFit="1" customWidth="1"/>
    <col min="2" max="2" width="38.7109375" bestFit="1" customWidth="1"/>
    <col min="3" max="3" width="24.42578125" customWidth="1"/>
    <col min="5" max="5" width="16.85546875" customWidth="1"/>
  </cols>
  <sheetData>
    <row r="1" spans="1:6" x14ac:dyDescent="0.2">
      <c r="A1" s="296" t="s">
        <v>92</v>
      </c>
      <c r="B1" s="297" t="s">
        <v>128</v>
      </c>
      <c r="C1" s="298"/>
      <c r="D1" s="299" t="s">
        <v>92</v>
      </c>
      <c r="E1" s="299" t="s">
        <v>129</v>
      </c>
      <c r="F1" s="1"/>
    </row>
    <row r="2" spans="1:6" x14ac:dyDescent="0.2">
      <c r="A2" s="300" t="str">
        <f>"Übertrag aus "&amp;Mantelbogen!D5-1</f>
        <v>Übertrag aus 2025</v>
      </c>
      <c r="B2" s="301">
        <f>IF(ISNUMBER(Mantelbogen!$D$29),Mantelbogen!$D$29,0)</f>
        <v>0</v>
      </c>
      <c r="C2" s="1"/>
      <c r="D2" s="302" t="s">
        <v>17</v>
      </c>
      <c r="E2" s="303">
        <f>COUNTIF(Jan!$C$19:$C$49,"=Ausgleich")</f>
        <v>0</v>
      </c>
      <c r="F2" s="1"/>
    </row>
    <row r="3" spans="1:6" x14ac:dyDescent="0.2">
      <c r="A3" s="302" t="s">
        <v>17</v>
      </c>
      <c r="B3" s="304">
        <f>COUNTIF(Jan!C19:C49,"=Urlaub")</f>
        <v>0</v>
      </c>
      <c r="C3" s="1"/>
      <c r="D3" s="302" t="s">
        <v>90</v>
      </c>
      <c r="E3" s="303">
        <f>COUNTIF(Feb!$C$19:$C$49,"=Ausgleich")</f>
        <v>0</v>
      </c>
      <c r="F3" s="1"/>
    </row>
    <row r="4" spans="1:6" x14ac:dyDescent="0.2">
      <c r="A4" s="302" t="s">
        <v>90</v>
      </c>
      <c r="B4" s="304">
        <f>COUNTIF(Feb!C19:C47,"=Urlaub")</f>
        <v>0</v>
      </c>
      <c r="C4" s="1"/>
      <c r="D4" s="302" t="s">
        <v>93</v>
      </c>
      <c r="E4" s="303">
        <f>COUNTIF(Mar!$C$19:$C$49,"=Ausgleich")</f>
        <v>0</v>
      </c>
      <c r="F4" s="1"/>
    </row>
    <row r="5" spans="1:6" x14ac:dyDescent="0.2">
      <c r="A5" s="302" t="s">
        <v>93</v>
      </c>
      <c r="B5" s="304">
        <f>COUNTIF(Mar!C19:C49,"=Urlaub")</f>
        <v>0</v>
      </c>
      <c r="C5" s="1"/>
      <c r="D5" s="302" t="s">
        <v>94</v>
      </c>
      <c r="E5" s="303">
        <f>COUNTIF(Apr!$C$19:$C$49,"=Ausgleich")</f>
        <v>0</v>
      </c>
      <c r="F5" s="1"/>
    </row>
    <row r="6" spans="1:6" x14ac:dyDescent="0.2">
      <c r="A6" s="302" t="s">
        <v>94</v>
      </c>
      <c r="B6" s="304">
        <f>COUNTIF(Apr!C19:C48,"=Urlaub")</f>
        <v>0</v>
      </c>
      <c r="C6" s="1"/>
      <c r="D6" s="302" t="s">
        <v>95</v>
      </c>
      <c r="E6" s="303">
        <f>COUNTIF(Mai!$C$19:$C$49,"=Ausgleich")</f>
        <v>0</v>
      </c>
      <c r="F6" s="1"/>
    </row>
    <row r="7" spans="1:6" x14ac:dyDescent="0.2">
      <c r="A7" s="302" t="s">
        <v>95</v>
      </c>
      <c r="B7" s="304">
        <f>COUNTIF(Mai!C19:C49,"=Urlaub")</f>
        <v>0</v>
      </c>
      <c r="C7" s="1"/>
      <c r="D7" s="302" t="s">
        <v>96</v>
      </c>
      <c r="E7" s="303">
        <f>COUNTIF(Jun!$C$19:$C$49,"=Ausgleich")</f>
        <v>0</v>
      </c>
      <c r="F7" s="1"/>
    </row>
    <row r="8" spans="1:6" x14ac:dyDescent="0.2">
      <c r="A8" s="302" t="s">
        <v>96</v>
      </c>
      <c r="B8" s="304">
        <f>COUNTIF(Jun!C19:C48,"=Urlaub")</f>
        <v>0</v>
      </c>
      <c r="C8" s="1"/>
      <c r="D8" s="302" t="s">
        <v>97</v>
      </c>
      <c r="E8" s="303">
        <f>COUNTIF(Jul!$C$19:$C$49,"=Ausgleich")</f>
        <v>0</v>
      </c>
      <c r="F8" s="1"/>
    </row>
    <row r="9" spans="1:6" x14ac:dyDescent="0.2">
      <c r="A9" s="302" t="s">
        <v>97</v>
      </c>
      <c r="B9" s="304">
        <f>COUNTIF(Jul!C19:C49,"=Urlaub")</f>
        <v>0</v>
      </c>
      <c r="C9" s="1"/>
      <c r="D9" s="302" t="s">
        <v>98</v>
      </c>
      <c r="E9" s="303">
        <f>COUNTIF(Aug!$C$19:$C$49,"=Ausgleich")</f>
        <v>0</v>
      </c>
      <c r="F9" s="1"/>
    </row>
    <row r="10" spans="1:6" x14ac:dyDescent="0.2">
      <c r="A10" s="302" t="s">
        <v>98</v>
      </c>
      <c r="B10" s="304">
        <f>COUNTIF(Aug!C19:C49,"=Urlaub")</f>
        <v>0</v>
      </c>
      <c r="C10" s="1"/>
      <c r="D10" s="302" t="s">
        <v>99</v>
      </c>
      <c r="E10" s="303">
        <f>COUNTIF(Sep!$C$19:$C$49,"=Ausgleich")</f>
        <v>0</v>
      </c>
      <c r="F10" s="1"/>
    </row>
    <row r="11" spans="1:6" x14ac:dyDescent="0.2">
      <c r="A11" s="302" t="s">
        <v>99</v>
      </c>
      <c r="B11" s="304">
        <f>COUNTIF(Sep!C19:C48,"=Urlaub")</f>
        <v>0</v>
      </c>
      <c r="C11" s="1"/>
      <c r="D11" s="302" t="s">
        <v>100</v>
      </c>
      <c r="E11" s="303">
        <f>COUNTIF(Okt!$C$19:$C$49,"=Ausgleich")</f>
        <v>0</v>
      </c>
      <c r="F11" s="1"/>
    </row>
    <row r="12" spans="1:6" x14ac:dyDescent="0.2">
      <c r="A12" s="302" t="s">
        <v>100</v>
      </c>
      <c r="B12" s="304">
        <f>COUNTIF(Okt!C19:C49,"=Urlaub")</f>
        <v>0</v>
      </c>
      <c r="C12" s="1"/>
      <c r="D12" s="302" t="s">
        <v>101</v>
      </c>
      <c r="E12" s="303">
        <f>COUNTIF(Nov!$C$19:$C$49,"=Ausgleich")</f>
        <v>0</v>
      </c>
      <c r="F12" s="1"/>
    </row>
    <row r="13" spans="1:6" x14ac:dyDescent="0.2">
      <c r="A13" s="302" t="s">
        <v>101</v>
      </c>
      <c r="B13" s="304">
        <f>COUNTIF(Nov!C19:C48,"=Urlaub")</f>
        <v>0</v>
      </c>
      <c r="C13" s="1"/>
      <c r="D13" s="302" t="s">
        <v>102</v>
      </c>
      <c r="E13" s="303">
        <f>COUNTIF(Dez!$C$19:$C$49,"=Ausgleich")</f>
        <v>0</v>
      </c>
      <c r="F13" s="1"/>
    </row>
    <row r="14" spans="1:6" x14ac:dyDescent="0.2">
      <c r="A14" s="302" t="s">
        <v>102</v>
      </c>
      <c r="B14" s="304">
        <f>COUNTIF(Dez!C19:C49,"=Urlaub")</f>
        <v>0</v>
      </c>
      <c r="C14" s="1"/>
      <c r="D14" s="305" t="s">
        <v>130</v>
      </c>
      <c r="E14" s="291">
        <f>SUM(E2:E13)</f>
        <v>0</v>
      </c>
      <c r="F14" s="1"/>
    </row>
    <row r="15" spans="1:6" x14ac:dyDescent="0.2">
      <c r="A15" s="306" t="s">
        <v>131</v>
      </c>
      <c r="B15" s="307" t="str">
        <f>IF(ISNUMBER(Mantelbogen!$D$30),Mantelbogen!$D$30+B2-SUM(B3:B14),"Bitte im Mantelbogen Jahresurlaub eintragen")</f>
        <v>Bitte im Mantelbogen Jahresurlaub eintragen</v>
      </c>
      <c r="C15" s="308"/>
      <c r="D15" s="1"/>
      <c r="E15" s="1"/>
      <c r="F15" s="1"/>
    </row>
    <row r="16" spans="1:6" x14ac:dyDescent="0.2">
      <c r="A16" s="1"/>
      <c r="B16" s="1"/>
      <c r="C16" s="308"/>
      <c r="D16" s="1"/>
      <c r="E16" s="1"/>
      <c r="F16" s="1"/>
    </row>
    <row r="21" spans="4:4" x14ac:dyDescent="0.2">
      <c r="D21" s="6"/>
    </row>
  </sheetData>
  <sheetProtection algorithmName="SHA-512" hashValue="uqsXpYcb7rZYtQG4eian6OgbxLZ1Q9JJ6PNuMDkdHpabEDM99zLY1+lK4+t86NcuMzFjMAdeB2Y1wECaw+yvRQ==" saltValue="m3y7lKK7L26k/thQGMiDmQ==" spinCount="100000" sheet="1" objects="1" scenarios="1"/>
  <pageMargins left="0.7" right="0.7" top="0.75" bottom="0.75" header="0.3" footer="0.3"/>
  <tableParts count="2">
    <tablePart r:id="rId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B0A24-056A-402C-9646-E92B428ACF31}">
  <sheetPr codeName="Sheet1"/>
  <dimension ref="A1:K13"/>
  <sheetViews>
    <sheetView topLeftCell="D1" workbookViewId="0">
      <selection activeCell="K1" sqref="K1"/>
    </sheetView>
  </sheetViews>
  <sheetFormatPr defaultRowHeight="12.75" x14ac:dyDescent="0.2"/>
  <cols>
    <col min="1" max="1" width="11.42578125" bestFit="1" customWidth="1"/>
    <col min="4" max="5" width="10.42578125" customWidth="1"/>
    <col min="7" max="8" width="10.42578125" customWidth="1"/>
    <col min="10" max="10" width="16.140625" bestFit="1" customWidth="1"/>
  </cols>
  <sheetData>
    <row r="1" spans="1:11" x14ac:dyDescent="0.2">
      <c r="A1" s="2" t="s">
        <v>72</v>
      </c>
      <c r="D1" t="s">
        <v>79</v>
      </c>
      <c r="E1" t="s">
        <v>80</v>
      </c>
      <c r="G1" s="3" t="s">
        <v>92</v>
      </c>
      <c r="H1" t="s">
        <v>91</v>
      </c>
      <c r="J1" s="2" t="s">
        <v>114</v>
      </c>
      <c r="K1" s="5">
        <v>0.35416666666666669</v>
      </c>
    </row>
    <row r="2" spans="1:11" x14ac:dyDescent="0.2">
      <c r="A2" t="str">
        <f t="shared" ref="A2:A8" si="0">TEXT(WEEKDAY(B2,2),Textcode)</f>
        <v>Montag</v>
      </c>
      <c r="B2">
        <v>3</v>
      </c>
      <c r="D2" t="s">
        <v>73</v>
      </c>
      <c r="E2" t="s">
        <v>74</v>
      </c>
      <c r="G2" s="3" t="s">
        <v>17</v>
      </c>
      <c r="H2" s="4">
        <v>1</v>
      </c>
      <c r="J2" s="2" t="s">
        <v>115</v>
      </c>
      <c r="K2" s="5">
        <v>0.70833333333333337</v>
      </c>
    </row>
    <row r="3" spans="1:11" x14ac:dyDescent="0.2">
      <c r="A3" t="str">
        <f t="shared" si="0"/>
        <v>Dienstag</v>
      </c>
      <c r="B3">
        <v>4</v>
      </c>
      <c r="D3" t="s">
        <v>75</v>
      </c>
      <c r="E3" t="s">
        <v>76</v>
      </c>
      <c r="G3" s="3" t="s">
        <v>90</v>
      </c>
      <c r="H3" s="4">
        <v>2</v>
      </c>
      <c r="J3" s="2" t="s">
        <v>116</v>
      </c>
      <c r="K3" s="5">
        <v>2.0833333333333332E-2</v>
      </c>
    </row>
    <row r="4" spans="1:11" x14ac:dyDescent="0.2">
      <c r="A4" t="str">
        <f t="shared" si="0"/>
        <v>Mittwoch</v>
      </c>
      <c r="B4">
        <v>5</v>
      </c>
      <c r="D4" t="s">
        <v>77</v>
      </c>
      <c r="E4" t="s">
        <v>78</v>
      </c>
      <c r="G4" s="3" t="s">
        <v>93</v>
      </c>
      <c r="H4" s="4">
        <v>3</v>
      </c>
      <c r="K4" s="2"/>
    </row>
    <row r="5" spans="1:11" x14ac:dyDescent="0.2">
      <c r="A5" t="str">
        <f t="shared" si="0"/>
        <v>Donnerstag</v>
      </c>
      <c r="B5">
        <v>6</v>
      </c>
      <c r="G5" s="3" t="s">
        <v>94</v>
      </c>
      <c r="H5" s="4">
        <v>4</v>
      </c>
      <c r="K5" s="2"/>
    </row>
    <row r="6" spans="1:11" x14ac:dyDescent="0.2">
      <c r="A6" t="str">
        <f t="shared" si="0"/>
        <v>Freitag</v>
      </c>
      <c r="B6">
        <v>7</v>
      </c>
      <c r="G6" s="3" t="s">
        <v>95</v>
      </c>
      <c r="H6" s="4">
        <v>5</v>
      </c>
    </row>
    <row r="7" spans="1:11" x14ac:dyDescent="0.2">
      <c r="A7" t="str">
        <f t="shared" si="0"/>
        <v>Samstag</v>
      </c>
      <c r="B7">
        <v>8</v>
      </c>
      <c r="G7" s="3" t="s">
        <v>96</v>
      </c>
      <c r="H7" s="4">
        <v>6</v>
      </c>
    </row>
    <row r="8" spans="1:11" x14ac:dyDescent="0.2">
      <c r="A8" t="str">
        <f t="shared" si="0"/>
        <v>Sonntag</v>
      </c>
      <c r="B8">
        <v>9</v>
      </c>
      <c r="G8" s="3" t="s">
        <v>97</v>
      </c>
      <c r="H8" s="4">
        <v>7</v>
      </c>
    </row>
    <row r="9" spans="1:11" x14ac:dyDescent="0.2">
      <c r="G9" s="3" t="s">
        <v>98</v>
      </c>
      <c r="H9" s="4">
        <v>8</v>
      </c>
    </row>
    <row r="10" spans="1:11" x14ac:dyDescent="0.2">
      <c r="G10" s="3" t="s">
        <v>99</v>
      </c>
      <c r="H10" s="4">
        <v>9</v>
      </c>
    </row>
    <row r="11" spans="1:11" x14ac:dyDescent="0.2">
      <c r="G11" s="3" t="s">
        <v>100</v>
      </c>
      <c r="H11" s="4">
        <v>10</v>
      </c>
    </row>
    <row r="12" spans="1:11" x14ac:dyDescent="0.2">
      <c r="G12" s="3" t="s">
        <v>101</v>
      </c>
      <c r="H12" s="4">
        <v>11</v>
      </c>
    </row>
    <row r="13" spans="1:11" x14ac:dyDescent="0.2">
      <c r="D13" s="2" t="s">
        <v>81</v>
      </c>
      <c r="E13" t="str">
        <f>INDEX(Table1[Code],MATCH(Mantelbogen!C4,Table1[Sprache],0))</f>
        <v>TTTT</v>
      </c>
      <c r="G13" s="3" t="s">
        <v>102</v>
      </c>
      <c r="H13" s="4">
        <v>12</v>
      </c>
    </row>
  </sheetData>
  <sheetProtection algorithmName="SHA-512" hashValue="t+AhaDAEilkHtQG64IvzsC3nuiEGZgm9MXmWy+LDGF1JQw6aINw+kgQ6KOdegWnQf72vHOMGu6z+cC6nttylKA==" saltValue="0enOriMvCai+MkvJtxzfGQ==" spinCount="100000" sheet="1" objects="1" scenarios="1"/>
  <pageMargins left="0.7" right="0.7" top="0.75" bottom="0.75" header="0.3" footer="0.3"/>
  <tableParts count="2">
    <tablePart r:id="rId1"/>
    <tablePart r:id="rId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N60"/>
  <sheetViews>
    <sheetView zoomScaleNormal="100" workbookViewId="0">
      <selection activeCell="N28" sqref="N28"/>
    </sheetView>
  </sheetViews>
  <sheetFormatPr defaultColWidth="11.5703125" defaultRowHeight="12.75" x14ac:dyDescent="0.2"/>
  <cols>
    <col min="1" max="1" width="5.5703125" style="125" customWidth="1"/>
    <col min="2" max="2" width="9.85546875" style="102" bestFit="1" customWidth="1"/>
    <col min="3" max="3" width="15.7109375" style="102" bestFit="1" customWidth="1"/>
    <col min="4" max="4" width="13.7109375" style="102" bestFit="1" customWidth="1"/>
    <col min="5" max="5" width="11.28515625" style="98" customWidth="1"/>
    <col min="6" max="6" width="7.85546875" style="98" customWidth="1"/>
    <col min="7" max="7" width="3.5703125" style="98" customWidth="1"/>
    <col min="8" max="8" width="8.42578125" style="98" customWidth="1"/>
    <col min="9" max="9" width="11" style="98" bestFit="1" customWidth="1"/>
    <col min="10" max="10" width="12.140625" style="98" bestFit="1" customWidth="1"/>
    <col min="11" max="11" width="2.85546875" style="98" customWidth="1"/>
    <col min="12" max="12" width="8.85546875" style="98" customWidth="1"/>
    <col min="13" max="13" width="16.42578125" style="99" customWidth="1"/>
    <col min="14" max="14" width="19.42578125" style="100" bestFit="1" customWidth="1"/>
    <col min="15" max="16384" width="11.5703125" style="98"/>
  </cols>
  <sheetData>
    <row r="1" spans="1:14" ht="15" customHeight="1" x14ac:dyDescent="0.2">
      <c r="A1" s="215" t="s">
        <v>46</v>
      </c>
      <c r="B1" s="215"/>
      <c r="C1" s="215"/>
      <c r="D1" s="215"/>
      <c r="E1" s="215"/>
      <c r="F1" s="215"/>
      <c r="G1" s="97" t="s">
        <v>9</v>
      </c>
      <c r="H1" s="97"/>
      <c r="I1" s="97"/>
      <c r="J1" s="97"/>
    </row>
    <row r="2" spans="1:14" ht="15" customHeight="1" x14ac:dyDescent="0.2">
      <c r="A2" s="215"/>
      <c r="B2" s="215"/>
      <c r="C2" s="215"/>
      <c r="D2" s="215"/>
      <c r="E2" s="215"/>
      <c r="F2" s="215"/>
      <c r="G2" s="97"/>
      <c r="H2" s="97"/>
      <c r="I2" s="97"/>
      <c r="J2" s="97"/>
    </row>
    <row r="3" spans="1:14" x14ac:dyDescent="0.2">
      <c r="A3" s="216" t="s">
        <v>11</v>
      </c>
      <c r="B3" s="216"/>
      <c r="C3" s="216"/>
      <c r="D3" s="216"/>
      <c r="E3" s="216"/>
      <c r="F3" s="216"/>
      <c r="G3" s="97"/>
      <c r="H3" s="97"/>
      <c r="I3" s="97"/>
      <c r="J3" s="97"/>
    </row>
    <row r="4" spans="1:14" ht="13.35" customHeight="1" x14ac:dyDescent="0.2">
      <c r="A4" s="217" t="s">
        <v>5</v>
      </c>
      <c r="B4" s="217"/>
      <c r="C4" s="217"/>
      <c r="D4" s="217"/>
      <c r="E4" s="217"/>
      <c r="F4" s="217"/>
      <c r="G4" s="97"/>
      <c r="H4" s="97"/>
      <c r="I4" s="97"/>
      <c r="J4" s="97"/>
    </row>
    <row r="5" spans="1:14" ht="6" customHeight="1" x14ac:dyDescent="0.2">
      <c r="A5" s="217"/>
      <c r="B5" s="217"/>
      <c r="C5" s="217"/>
      <c r="D5" s="217"/>
      <c r="E5" s="217"/>
      <c r="F5" s="217"/>
      <c r="G5" s="97"/>
      <c r="H5" s="97"/>
      <c r="I5" s="97"/>
      <c r="J5" s="97"/>
    </row>
    <row r="6" spans="1:14" ht="13.35" customHeight="1" x14ac:dyDescent="0.2">
      <c r="A6" s="217"/>
      <c r="B6" s="217"/>
      <c r="C6" s="217"/>
      <c r="D6" s="217"/>
      <c r="E6" s="217"/>
      <c r="F6" s="217"/>
      <c r="G6" s="97"/>
      <c r="H6" s="97"/>
      <c r="I6" s="97"/>
      <c r="J6" s="97"/>
    </row>
    <row r="7" spans="1:14" ht="13.35" customHeight="1" x14ac:dyDescent="0.2">
      <c r="A7" s="102"/>
      <c r="B7" s="101"/>
      <c r="C7" s="101"/>
      <c r="D7" s="101"/>
      <c r="E7" s="101"/>
      <c r="F7" s="101"/>
      <c r="G7" s="97"/>
      <c r="H7" s="97"/>
      <c r="I7" s="97"/>
      <c r="J7" s="97"/>
    </row>
    <row r="8" spans="1:14" ht="6" customHeight="1" thickBot="1" x14ac:dyDescent="0.25">
      <c r="A8" s="103"/>
      <c r="B8" s="104"/>
      <c r="C8" s="104"/>
      <c r="D8" s="104"/>
      <c r="E8" s="105"/>
      <c r="F8" s="105"/>
      <c r="G8" s="105"/>
      <c r="H8" s="105"/>
      <c r="I8" s="106"/>
      <c r="J8" s="106"/>
      <c r="K8" s="107"/>
      <c r="L8" s="108"/>
    </row>
    <row r="9" spans="1:14" ht="6" customHeight="1" x14ac:dyDescent="0.2">
      <c r="A9" s="109"/>
      <c r="B9" s="110"/>
      <c r="C9" s="110"/>
      <c r="D9" s="110"/>
      <c r="E9" s="111"/>
      <c r="F9" s="111"/>
      <c r="G9" s="111"/>
      <c r="H9" s="111"/>
      <c r="I9" s="112"/>
      <c r="J9" s="112"/>
      <c r="K9" s="113"/>
      <c r="L9" s="114"/>
    </row>
    <row r="10" spans="1:14" x14ac:dyDescent="0.2">
      <c r="A10" s="109"/>
      <c r="B10" s="110"/>
      <c r="C10" s="110"/>
      <c r="D10" s="110"/>
      <c r="E10" s="111"/>
      <c r="F10" s="111"/>
      <c r="G10" s="111"/>
      <c r="I10" s="112"/>
      <c r="J10" s="112"/>
      <c r="K10" s="113"/>
      <c r="L10" s="114"/>
    </row>
    <row r="11" spans="1:14" x14ac:dyDescent="0.2">
      <c r="A11" s="115" t="s">
        <v>6</v>
      </c>
      <c r="B11" s="115"/>
      <c r="C11" s="116" t="str">
        <f>CONCATENATE(Mantelbogen!C6,", ",Mantelbogen!C7)</f>
        <v>ATHENE, Pallas</v>
      </c>
      <c r="D11" s="117"/>
      <c r="E11" s="118"/>
      <c r="F11" s="119"/>
      <c r="G11" s="119" t="s">
        <v>8</v>
      </c>
      <c r="H11" s="120"/>
      <c r="I11" s="121">
        <f>DATE(J11,1,1)</f>
        <v>46023</v>
      </c>
      <c r="J11" s="122">
        <f>Mantelbogen!D5</f>
        <v>2026</v>
      </c>
      <c r="K11" s="123"/>
      <c r="L11" s="124"/>
    </row>
    <row r="12" spans="1:14" x14ac:dyDescent="0.2">
      <c r="B12" s="114"/>
      <c r="C12" s="126"/>
      <c r="D12" s="127"/>
      <c r="E12" s="119"/>
      <c r="F12" s="119"/>
      <c r="G12" s="111"/>
      <c r="I12" s="112"/>
      <c r="J12" s="128"/>
      <c r="K12" s="113"/>
      <c r="L12" s="114"/>
    </row>
    <row r="13" spans="1:14" x14ac:dyDescent="0.2">
      <c r="A13" s="115" t="s">
        <v>7</v>
      </c>
      <c r="B13" s="115"/>
      <c r="C13" s="129" t="str">
        <f>Mantelbogen!C8</f>
        <v>Geschäftsstelle</v>
      </c>
      <c r="D13" s="130"/>
      <c r="E13" s="118"/>
      <c r="F13" s="131"/>
      <c r="G13" s="131"/>
      <c r="H13" s="120"/>
      <c r="I13" s="117"/>
      <c r="J13" s="118"/>
      <c r="K13" s="123"/>
      <c r="L13" s="124"/>
    </row>
    <row r="14" spans="1:14" ht="13.5" thickBot="1" x14ac:dyDescent="0.25">
      <c r="K14" s="113"/>
      <c r="L14" s="114"/>
    </row>
    <row r="15" spans="1:14" ht="13.35" customHeight="1" x14ac:dyDescent="0.2">
      <c r="A15" s="132"/>
      <c r="B15" s="132" t="s">
        <v>14</v>
      </c>
      <c r="C15" s="132" t="s">
        <v>110</v>
      </c>
      <c r="D15" s="132" t="s">
        <v>145</v>
      </c>
      <c r="E15" s="132" t="s">
        <v>16</v>
      </c>
      <c r="F15" s="133" t="s">
        <v>143</v>
      </c>
      <c r="G15" s="133"/>
      <c r="H15" s="134" t="s">
        <v>43</v>
      </c>
      <c r="I15" s="135" t="s">
        <v>0</v>
      </c>
      <c r="J15" s="136"/>
      <c r="K15" s="137" t="s">
        <v>41</v>
      </c>
      <c r="L15" s="138"/>
      <c r="M15" s="139"/>
      <c r="N15" s="140"/>
    </row>
    <row r="16" spans="1:14" ht="13.5" thickBot="1" x14ac:dyDescent="0.25">
      <c r="A16" s="132"/>
      <c r="B16" s="132"/>
      <c r="C16" s="132"/>
      <c r="D16" s="132"/>
      <c r="E16" s="132"/>
      <c r="F16" s="133"/>
      <c r="G16" s="133"/>
      <c r="H16" s="141"/>
      <c r="I16" s="142" t="s">
        <v>1</v>
      </c>
      <c r="J16" s="143" t="s">
        <v>2</v>
      </c>
      <c r="K16" s="144"/>
      <c r="L16" s="145"/>
      <c r="M16" s="139"/>
      <c r="N16" s="146" t="str">
        <f>IF($I$17/$H$58 &gt; 1, CONCATENATE("Noch ",TEXT(($I$17-$H$58)*24,"#,0")), "" )</f>
        <v/>
      </c>
    </row>
    <row r="17" spans="1:14" ht="13.5" thickBot="1" x14ac:dyDescent="0.25">
      <c r="A17" s="132"/>
      <c r="B17" s="132"/>
      <c r="C17" s="132"/>
      <c r="D17" s="132"/>
      <c r="E17" s="132"/>
      <c r="F17" s="133"/>
      <c r="G17" s="133"/>
      <c r="H17" s="141"/>
      <c r="I17" s="147">
        <f>IF(Mantelbogen!D26=I11,Mantelbogen!C28,0)</f>
        <v>0</v>
      </c>
      <c r="J17" s="148">
        <f>IF(Mantelbogen!D26=I11,Mantelbogen!D28,0)</f>
        <v>0</v>
      </c>
      <c r="K17" s="149" t="str">
        <f>IF(I17/H58 &gt; 1, I17/H58, " " )</f>
        <v xml:space="preserve"> </v>
      </c>
      <c r="L17" s="150"/>
      <c r="N17" s="151" t="str">
        <f>IF($I$17/$H$58 &gt; 1, "Überstunden", " " )</f>
        <v xml:space="preserve"> </v>
      </c>
    </row>
    <row r="18" spans="1:14" ht="13.5" thickBot="1" x14ac:dyDescent="0.25">
      <c r="A18" s="132"/>
      <c r="B18" s="132"/>
      <c r="C18" s="132"/>
      <c r="D18" s="132"/>
      <c r="E18" s="132"/>
      <c r="F18" s="133"/>
      <c r="G18" s="133"/>
      <c r="H18" s="152"/>
      <c r="I18" s="147"/>
      <c r="J18" s="148"/>
      <c r="K18" s="153"/>
      <c r="L18" s="154"/>
      <c r="N18" s="151" t="str">
        <f>IF($I$17/$H$58 &gt; 1, "bis 01.04. abzubauen !", " " )</f>
        <v xml:space="preserve"> </v>
      </c>
    </row>
    <row r="19" spans="1:14" ht="17.45" customHeight="1" x14ac:dyDescent="0.35">
      <c r="A19" s="155">
        <v>1</v>
      </c>
      <c r="B19" s="156" t="str">
        <f>TEXT(DATE(J$11,MONTH(I$11),A19),Textcode)</f>
        <v>Donnerstag</v>
      </c>
      <c r="C19" s="157" t="s">
        <v>21</v>
      </c>
      <c r="D19" s="157">
        <v>0.70833333333333337</v>
      </c>
      <c r="E19" s="157">
        <v>2.0833333333333332E-2</v>
      </c>
      <c r="F19" s="158">
        <f>IF(ISTEXT(C19),,D19-C19-E19)</f>
        <v>0</v>
      </c>
      <c r="G19" s="159"/>
      <c r="H19" s="160">
        <f t="shared" ref="H19:H23" si="0">IF(AND(ISTEXT(C19),ISERR(SEARCH("ausgleich",C19,1))),,INDEX(H$51:H$58,WEEKDAY(DATE(J$11,MONTH(I$11),A19),2),1,1))</f>
        <v>0</v>
      </c>
      <c r="I19" s="161" t="str">
        <f>IF(AND(F19&gt;H19,OR(AND(OR($B19&lt;&gt;Ref!$A$7,$H$56&gt;0),OR($B19&lt;&gt;Ref!$A$8,$H$57&gt;0)),COUNT(SEARCH(Sonderarbeit,$N19))&gt;=1),ISNONTEXT(C19),C19&lt;&gt;""),F19-H19,"")</f>
        <v/>
      </c>
      <c r="J19" s="162" t="str">
        <f>IF(OR(AND(F19&lt;H19,OR(AND(OR($B19&lt;&gt;Ref!$A$7,$H$56&gt;0),OR($B19&lt;&gt;Ref!$A$8,$H$57&gt;0)),COUNT(SEARCH(Sonderarbeit,$N19))&gt;=1)),C19="Ausgleich"),H19-F19,"")</f>
        <v/>
      </c>
      <c r="K19" s="163" t="str">
        <f>IF(AND(B19=Ref!$A$8,SUM(I19:I19)&lt;SUM(J19:J19)),"-","")</f>
        <v/>
      </c>
      <c r="L19" s="164" t="str">
        <f>IF(B19=Ref!$A$8,ABS(SUM(I19:I19)-SUM(J19:J19)),"")</f>
        <v/>
      </c>
      <c r="N19" s="165"/>
    </row>
    <row r="20" spans="1:14" ht="17.45" customHeight="1" x14ac:dyDescent="0.35">
      <c r="A20" s="155">
        <v>2</v>
      </c>
      <c r="B20" s="156" t="str">
        <f t="shared" ref="B20:B49" si="1">TEXT(DATE(J$11,MONTH(I$11),A20),Textcode)</f>
        <v>Freitag</v>
      </c>
      <c r="C20" s="157">
        <v>0.35416666666666669</v>
      </c>
      <c r="D20" s="157">
        <v>0.70833333333333337</v>
      </c>
      <c r="E20" s="157">
        <v>2.0833333333333332E-2</v>
      </c>
      <c r="F20" s="158">
        <f>IF(ISTEXT(C20),,D20-C20-E20)</f>
        <v>0.33333333333333337</v>
      </c>
      <c r="G20" s="159"/>
      <c r="H20" s="160">
        <f t="shared" si="0"/>
        <v>0.3125</v>
      </c>
      <c r="I20" s="161">
        <f>IF(AND(F20&gt;H20,OR(AND(OR($B20&lt;&gt;Ref!$A$7,$H$56&gt;0),OR($B20&lt;&gt;Ref!$A$8,$H$57&gt;0)),COUNT(SEARCH(Sonderarbeit,$N20))&gt;=1),ISNONTEXT(C20),C20&lt;&gt;""),F20-H20,"")</f>
        <v>2.083333333333337E-2</v>
      </c>
      <c r="J20" s="162" t="str">
        <f>IF(OR(AND(F20&lt;H20,OR(AND(OR($B20&lt;&gt;Ref!$A$7,$H$56&gt;0),OR($B20&lt;&gt;Ref!$A$8,$H$57&gt;0)),COUNT(SEARCH(Sonderarbeit,$N20))&gt;=1)),C20="Ausgleich"),H20-F20,"")</f>
        <v/>
      </c>
      <c r="K20" s="166" t="str">
        <f>IF(AND(B20=Ref!$A$8,SUM(I19:I20)&lt;SUM(J19:J20)),"-","")</f>
        <v/>
      </c>
      <c r="L20" s="167" t="str">
        <f>IF(B20=Ref!$A$8,ABS(SUM(I19:I20)-SUM(J19:J20)),"")</f>
        <v/>
      </c>
    </row>
    <row r="21" spans="1:14" ht="17.45" customHeight="1" x14ac:dyDescent="0.35">
      <c r="A21" s="155">
        <v>3</v>
      </c>
      <c r="B21" s="156" t="str">
        <f t="shared" si="1"/>
        <v>Samstag</v>
      </c>
      <c r="C21" s="157">
        <v>0.35416666666666669</v>
      </c>
      <c r="D21" s="157">
        <v>0.70833333333333337</v>
      </c>
      <c r="E21" s="157">
        <v>2.0833333333333332E-2</v>
      </c>
      <c r="F21" s="158">
        <f t="shared" ref="F21:F49" si="2">IF(ISTEXT(C21),,D21-C21-E21)</f>
        <v>0.33333333333333337</v>
      </c>
      <c r="G21" s="159"/>
      <c r="H21" s="160">
        <f t="shared" si="0"/>
        <v>0</v>
      </c>
      <c r="I21" s="161" t="str">
        <f>IF(AND(F21&gt;H21,OR(AND(OR($B21&lt;&gt;Ref!$A$7,$H$56&gt;0),OR($B21&lt;&gt;Ref!$A$8,$H$57&gt;0)),COUNT(SEARCH(Sonderarbeit,$N21))&gt;=1),ISNONTEXT(C21),C21&lt;&gt;""),F21-H21,"")</f>
        <v/>
      </c>
      <c r="J21" s="162" t="str">
        <f>IF(OR(AND(F21&lt;H21,OR(AND(OR($B21&lt;&gt;Ref!$A$7,$H$56&gt;0),OR($B21&lt;&gt;Ref!$A$8,$H$57&gt;0)),COUNT(SEARCH(Sonderarbeit,$N21))&gt;=1)),C21="Ausgleich"),H21-F21,"")</f>
        <v/>
      </c>
      <c r="K21" s="166" t="str">
        <f>IF(AND(B21=Ref!$A$8,SUM(I19:I21)&lt;SUM(J19:J21)),"-","")</f>
        <v/>
      </c>
      <c r="L21" s="167" t="str">
        <f>IF(B21=Ref!$A$8,ABS(SUM(I19:I21)-SUM(J19:J21)),"")</f>
        <v/>
      </c>
    </row>
    <row r="22" spans="1:14" ht="17.45" customHeight="1" x14ac:dyDescent="0.35">
      <c r="A22" s="168">
        <v>4</v>
      </c>
      <c r="B22" s="156" t="str">
        <f t="shared" si="1"/>
        <v>Sonntag</v>
      </c>
      <c r="C22" s="157">
        <v>0.35416666666666669</v>
      </c>
      <c r="D22" s="157">
        <v>0.70833333333333337</v>
      </c>
      <c r="E22" s="157">
        <v>2.0833333333333332E-2</v>
      </c>
      <c r="F22" s="158">
        <f t="shared" si="2"/>
        <v>0.33333333333333337</v>
      </c>
      <c r="G22" s="159"/>
      <c r="H22" s="160">
        <f t="shared" si="0"/>
        <v>0</v>
      </c>
      <c r="I22" s="161" t="str">
        <f>IF(AND(F22&gt;H22,OR(AND(OR($B22&lt;&gt;Ref!$A$7,$H$56&gt;0),OR($B22&lt;&gt;Ref!$A$8,$H$57&gt;0)),COUNT(SEARCH(Sonderarbeit,$N22))&gt;=1),ISNONTEXT(C22),C22&lt;&gt;""),F22-H22,"")</f>
        <v/>
      </c>
      <c r="J22" s="162" t="str">
        <f>IF(OR(AND(F22&lt;H22,OR(AND(OR($B22&lt;&gt;Ref!$A$7,$H$56&gt;0),OR($B22&lt;&gt;Ref!$A$8,$H$57&gt;0)),COUNT(SEARCH(Sonderarbeit,$N22))&gt;=1)),C22="Ausgleich"),H22-F22,"")</f>
        <v/>
      </c>
      <c r="K22" s="166" t="str">
        <f>IF(AND(B22=Ref!$A$8,SUM(I19:I22)&lt;SUM(J19:J22)),"-","")</f>
        <v/>
      </c>
      <c r="L22" s="167">
        <f>IF(B22=Ref!$A$8,ABS(SUM(I19:I22)-SUM(J19:J22)),"")</f>
        <v>2.083333333333337E-2</v>
      </c>
      <c r="N22" s="169"/>
    </row>
    <row r="23" spans="1:14" ht="17.45" customHeight="1" x14ac:dyDescent="0.35">
      <c r="A23" s="168">
        <v>5</v>
      </c>
      <c r="B23" s="156" t="str">
        <f t="shared" si="1"/>
        <v>Montag</v>
      </c>
      <c r="C23" s="157">
        <v>0.35416666666666669</v>
      </c>
      <c r="D23" s="157">
        <v>0.70833333333333337</v>
      </c>
      <c r="E23" s="157">
        <v>2.0833333333333332E-2</v>
      </c>
      <c r="F23" s="158">
        <f t="shared" si="2"/>
        <v>0.33333333333333337</v>
      </c>
      <c r="G23" s="159"/>
      <c r="H23" s="160">
        <f t="shared" si="0"/>
        <v>0.33333333333333331</v>
      </c>
      <c r="I23" s="161" t="str">
        <f>IF(AND(F23&gt;H23,OR(AND(OR($B23&lt;&gt;Ref!$A$7,$H$56&gt;0),OR($B23&lt;&gt;Ref!$A$8,$H$57&gt;0)),COUNT(SEARCH(Sonderarbeit,$N23))&gt;=1),ISNONTEXT(C23),C23&lt;&gt;""),F23-H23,"")</f>
        <v/>
      </c>
      <c r="J23" s="162" t="str">
        <f>IF(OR(AND(F23&lt;H23,OR(AND(OR($B23&lt;&gt;Ref!$A$7,$H$56&gt;0),OR($B23&lt;&gt;Ref!$A$8,$H$57&gt;0)),COUNT(SEARCH(Sonderarbeit,$N23))&gt;=1)),C23="Ausgleich"),H23-F23,"")</f>
        <v/>
      </c>
      <c r="K23" s="166" t="str">
        <f>IF(AND(B23=Ref!$A$8,SUM(I19:I23)&lt;SUM(J19:J23)),"-","")</f>
        <v/>
      </c>
      <c r="L23" s="167" t="str">
        <f>IF(B23=Ref!$A$8,ABS(SUM(I19:I23)-SUM(J19:J23)),"")</f>
        <v/>
      </c>
    </row>
    <row r="24" spans="1:14" ht="17.45" customHeight="1" x14ac:dyDescent="0.35">
      <c r="A24" s="155">
        <v>6</v>
      </c>
      <c r="B24" s="156" t="str">
        <f t="shared" si="1"/>
        <v>Dienstag</v>
      </c>
      <c r="C24" s="157" t="s">
        <v>20</v>
      </c>
      <c r="D24" s="157">
        <v>0.70833333333333337</v>
      </c>
      <c r="E24" s="157">
        <v>2.0833333333333332E-2</v>
      </c>
      <c r="F24" s="158">
        <f t="shared" si="2"/>
        <v>0</v>
      </c>
      <c r="G24" s="159"/>
      <c r="H24" s="160">
        <f>IF(AND(ISTEXT(C24),ISERR(SEARCH("ausgleich",C24,1))),,INDEX(H$51:H$58,WEEKDAY(DATE(J$11,MONTH(I$11),A24),2),1,1))</f>
        <v>0</v>
      </c>
      <c r="I24" s="161" t="str">
        <f>IF(AND(F24&gt;H24,OR(AND(OR($B24&lt;&gt;Ref!$A$7,$H$56&gt;0),OR($B24&lt;&gt;Ref!$A$8,$H$57&gt;0)),COUNT(SEARCH(Sonderarbeit,$N24))&gt;=1),ISNONTEXT(C24),C24&lt;&gt;""),F24-H24,"")</f>
        <v/>
      </c>
      <c r="J24" s="162" t="str">
        <f>IF(OR(AND(F24&lt;H24,OR(AND(OR($B24&lt;&gt;Ref!$A$7,$H$56&gt;0),OR($B24&lt;&gt;Ref!$A$8,$H$57&gt;0)),COUNT(SEARCH(Sonderarbeit,$N24))&gt;=1)),C24="Ausgleich"),H24-F24,"")</f>
        <v/>
      </c>
      <c r="K24" s="166" t="str">
        <f>IF(AND(B24=Ref!$A$8,SUM(I19:I24)&lt;SUM(J19:J24)),"-","")</f>
        <v/>
      </c>
      <c r="L24" s="167" t="str">
        <f>IF(B24=Ref!$A$8,ABS(SUM(I19:I24)-SUM(J19:J24)),"")</f>
        <v/>
      </c>
      <c r="N24" s="100" t="s">
        <v>123</v>
      </c>
    </row>
    <row r="25" spans="1:14" ht="17.45" customHeight="1" x14ac:dyDescent="0.35">
      <c r="A25" s="168">
        <v>7</v>
      </c>
      <c r="B25" s="156" t="str">
        <f t="shared" si="1"/>
        <v>Mittwoch</v>
      </c>
      <c r="C25" s="157">
        <v>0.35416666666666669</v>
      </c>
      <c r="D25" s="157">
        <v>0.70833333333333337</v>
      </c>
      <c r="E25" s="157">
        <v>2.0833333333333332E-2</v>
      </c>
      <c r="F25" s="158">
        <f t="shared" si="2"/>
        <v>0.33333333333333337</v>
      </c>
      <c r="G25" s="159"/>
      <c r="H25" s="160">
        <f t="shared" ref="H25:H49" si="3">IF(AND(ISTEXT(C25),ISERR(SEARCH("ausgleich",C25,1))),,INDEX(H$51:H$58,WEEKDAY(DATE(J$11,MONTH(I$11),A25),2),1,1))</f>
        <v>0.33333333333333331</v>
      </c>
      <c r="I25" s="161" t="str">
        <f>IF(AND(F25&gt;H25,OR(AND(OR($B25&lt;&gt;Ref!$A$7,$H$56&gt;0),OR($B25&lt;&gt;Ref!$A$8,$H$57&gt;0)),COUNT(SEARCH(Sonderarbeit,$N25))&gt;=1),ISNONTEXT(C25),C25&lt;&gt;""),F25-H25,"")</f>
        <v/>
      </c>
      <c r="J25" s="162" t="str">
        <f>IF(OR(AND(F25&lt;H25,OR(AND(OR($B25&lt;&gt;Ref!$A$7,$H$56&gt;0),OR($B25&lt;&gt;Ref!$A$8,$H$57&gt;0)),COUNT(SEARCH(Sonderarbeit,$N25))&gt;=1)),C25="Ausgleich"),H25-F25,"")</f>
        <v/>
      </c>
      <c r="K25" s="166" t="str">
        <f>IF(AND(B25=Ref!$A$8,SUM(I19:I25)&lt;SUM(J19:J25)),"-","")</f>
        <v/>
      </c>
      <c r="L25" s="167" t="str">
        <f>IF(B25=Ref!$A$8,ABS(SUM(I19:I25)-SUM(J19:J25)),"")</f>
        <v/>
      </c>
    </row>
    <row r="26" spans="1:14" ht="17.45" customHeight="1" x14ac:dyDescent="0.35">
      <c r="A26" s="168">
        <v>8</v>
      </c>
      <c r="B26" s="156" t="str">
        <f t="shared" si="1"/>
        <v>Donnerstag</v>
      </c>
      <c r="C26" s="157">
        <v>0.35416666666666669</v>
      </c>
      <c r="D26" s="157">
        <v>0.70833333333333337</v>
      </c>
      <c r="E26" s="157">
        <v>2.0833333333333332E-2</v>
      </c>
      <c r="F26" s="158">
        <f t="shared" si="2"/>
        <v>0.33333333333333337</v>
      </c>
      <c r="G26" s="159"/>
      <c r="H26" s="160">
        <f t="shared" si="3"/>
        <v>0.33333333333333331</v>
      </c>
      <c r="I26" s="161" t="str">
        <f>IF(AND(F26&gt;H26,OR(AND(OR($B26&lt;&gt;Ref!$A$7,$H$56&gt;0),OR($B26&lt;&gt;Ref!$A$8,$H$57&gt;0)),COUNT(SEARCH(Sonderarbeit,$N26))&gt;=1),ISNONTEXT(C26),C26&lt;&gt;""),F26-H26,"")</f>
        <v/>
      </c>
      <c r="J26" s="162" t="str">
        <f>IF(OR(AND(F26&lt;H26,OR(AND(OR($B26&lt;&gt;Ref!$A$7,$H$56&gt;0),OR($B26&lt;&gt;Ref!$A$8,$H$57&gt;0)),COUNT(SEARCH(Sonderarbeit,$N26))&gt;=1)),C26="Ausgleich"),H26-F26,"")</f>
        <v/>
      </c>
      <c r="K26" s="166" t="str">
        <f>IF(AND(B26=Ref!$A$8,SUM(I20:I26)&lt;SUM(J20:J26)),"-","")</f>
        <v/>
      </c>
      <c r="L26" s="167" t="str">
        <f>IF(B26=Ref!$A$8,ABS(SUM(I20:I26)-SUM(J20:J26)),"")</f>
        <v/>
      </c>
    </row>
    <row r="27" spans="1:14" ht="17.45" customHeight="1" x14ac:dyDescent="0.35">
      <c r="A27" s="155">
        <v>9</v>
      </c>
      <c r="B27" s="156" t="str">
        <f t="shared" si="1"/>
        <v>Freitag</v>
      </c>
      <c r="C27" s="157">
        <v>0.35416666666666669</v>
      </c>
      <c r="D27" s="157">
        <v>0.70833333333333337</v>
      </c>
      <c r="E27" s="157">
        <v>2.0833333333333332E-2</v>
      </c>
      <c r="F27" s="158">
        <f t="shared" si="2"/>
        <v>0.33333333333333337</v>
      </c>
      <c r="G27" s="159"/>
      <c r="H27" s="160">
        <f t="shared" si="3"/>
        <v>0.3125</v>
      </c>
      <c r="I27" s="161">
        <f>IF(AND(F27&gt;H27,OR(AND(OR($B27&lt;&gt;Ref!$A$7,$H$56&gt;0),OR($B27&lt;&gt;Ref!$A$8,$H$57&gt;0)),COUNT(SEARCH(Sonderarbeit,$N27))&gt;=1),ISNONTEXT(C27),C27&lt;&gt;""),F27-H27,"")</f>
        <v>2.083333333333337E-2</v>
      </c>
      <c r="J27" s="162" t="str">
        <f>IF(OR(AND(F27&lt;H27,OR(AND(OR($B27&lt;&gt;Ref!$A$7,$H$56&gt;0),OR($B27&lt;&gt;Ref!$A$8,$H$57&gt;0)),COUNT(SEARCH(Sonderarbeit,$N27))&gt;=1)),C27="Ausgleich"),H27-F27,"")</f>
        <v/>
      </c>
      <c r="K27" s="166" t="str">
        <f>IF(AND(B27=Ref!$A$8,SUM(I21:I27)&lt;SUM(J21:J27)),"-","")</f>
        <v/>
      </c>
      <c r="L27" s="167" t="str">
        <f>IF(B27=Ref!$A$8,ABS(SUM(I21:I27)-SUM(J21:J27)),"")</f>
        <v/>
      </c>
    </row>
    <row r="28" spans="1:14" ht="17.45" customHeight="1" x14ac:dyDescent="0.35">
      <c r="A28" s="155">
        <v>10</v>
      </c>
      <c r="B28" s="156" t="str">
        <f t="shared" si="1"/>
        <v>Samstag</v>
      </c>
      <c r="C28" s="157">
        <v>0.35416666666666669</v>
      </c>
      <c r="D28" s="157">
        <v>0.70833333333333337</v>
      </c>
      <c r="E28" s="157">
        <v>2.0833333333333332E-2</v>
      </c>
      <c r="F28" s="158">
        <f t="shared" si="2"/>
        <v>0.33333333333333337</v>
      </c>
      <c r="G28" s="159"/>
      <c r="H28" s="160">
        <f t="shared" si="3"/>
        <v>0</v>
      </c>
      <c r="I28" s="161" t="str">
        <f>IF(AND(F28&gt;H28,OR(AND(OR($B28&lt;&gt;Ref!$A$7,$H$56&gt;0),OR($B28&lt;&gt;Ref!$A$8,$H$57&gt;0)),COUNT(SEARCH(Sonderarbeit,$N28))&gt;=1),ISNONTEXT(C28),C28&lt;&gt;""),F28-H28,"")</f>
        <v/>
      </c>
      <c r="J28" s="162" t="str">
        <f>IF(OR(AND(F28&lt;H28,OR(AND(OR($B28&lt;&gt;Ref!$A$7,$H$56&gt;0),OR($B28&lt;&gt;Ref!$A$8,$H$57&gt;0)),COUNT(SEARCH(Sonderarbeit,$N28))&gt;=1)),C28="Ausgleich"),H28-F28,"")</f>
        <v/>
      </c>
      <c r="K28" s="166" t="str">
        <f>IF(AND(B28=Ref!$A$8,SUM(I22:I28)&lt;SUM(J22:J28)),"-","")</f>
        <v/>
      </c>
      <c r="L28" s="167" t="str">
        <f>IF(B28=Ref!$A$8,ABS(SUM(I22:I28)-SUM(J22:J28)),"")</f>
        <v/>
      </c>
    </row>
    <row r="29" spans="1:14" ht="17.45" customHeight="1" x14ac:dyDescent="0.35">
      <c r="A29" s="168">
        <v>11</v>
      </c>
      <c r="B29" s="156" t="str">
        <f t="shared" si="1"/>
        <v>Sonntag</v>
      </c>
      <c r="C29" s="157">
        <v>0.35416666666666669</v>
      </c>
      <c r="D29" s="157">
        <v>0.70833333333333337</v>
      </c>
      <c r="E29" s="157">
        <v>2.0833333333333332E-2</v>
      </c>
      <c r="F29" s="158">
        <f t="shared" si="2"/>
        <v>0.33333333333333337</v>
      </c>
      <c r="G29" s="159"/>
      <c r="H29" s="160">
        <f t="shared" si="3"/>
        <v>0</v>
      </c>
      <c r="I29" s="161" t="str">
        <f>IF(AND(F29&gt;H29,OR(AND(OR($B29&lt;&gt;Ref!$A$7,$H$56&gt;0),OR($B29&lt;&gt;Ref!$A$8,$H$57&gt;0)),COUNT(SEARCH(Sonderarbeit,$N29))&gt;=1),ISNONTEXT(C29),C29&lt;&gt;""),F29-H29,"")</f>
        <v/>
      </c>
      <c r="J29" s="162" t="str">
        <f>IF(OR(AND(F29&lt;H29,OR(AND(OR($B29&lt;&gt;Ref!$A$7,$H$56&gt;0),OR($B29&lt;&gt;Ref!$A$8,$H$57&gt;0)),COUNT(SEARCH(Sonderarbeit,$N29))&gt;=1)),C29="Ausgleich"),H29-F29,"")</f>
        <v/>
      </c>
      <c r="K29" s="166" t="str">
        <f>IF(AND(B29=Ref!$A$8,SUM(I23:I29)&lt;SUM(J23:J29)),"-","")</f>
        <v/>
      </c>
      <c r="L29" s="167">
        <f>IF(B29=Ref!$A$8,ABS(SUM(I23:I29)-SUM(J23:J29)),"")</f>
        <v>2.083333333333337E-2</v>
      </c>
    </row>
    <row r="30" spans="1:14" ht="17.45" customHeight="1" x14ac:dyDescent="0.35">
      <c r="A30" s="168">
        <v>12</v>
      </c>
      <c r="B30" s="156" t="str">
        <f t="shared" si="1"/>
        <v>Montag</v>
      </c>
      <c r="C30" s="157">
        <v>0.35416666666666669</v>
      </c>
      <c r="D30" s="157">
        <v>0.70833333333333337</v>
      </c>
      <c r="E30" s="157">
        <v>2.0833333333333332E-2</v>
      </c>
      <c r="F30" s="158">
        <f t="shared" si="2"/>
        <v>0.33333333333333337</v>
      </c>
      <c r="G30" s="159"/>
      <c r="H30" s="160">
        <f t="shared" si="3"/>
        <v>0.33333333333333331</v>
      </c>
      <c r="I30" s="161" t="str">
        <f>IF(AND(F30&gt;H30,OR(AND(OR($B30&lt;&gt;Ref!$A$7,$H$56&gt;0),OR($B30&lt;&gt;Ref!$A$8,$H$57&gt;0)),COUNT(SEARCH(Sonderarbeit,$N30))&gt;=1),ISNONTEXT(C30),C30&lt;&gt;""),F30-H30,"")</f>
        <v/>
      </c>
      <c r="J30" s="162" t="str">
        <f>IF(OR(AND(F30&lt;H30,OR(AND(OR($B30&lt;&gt;Ref!$A$7,$H$56&gt;0),OR($B30&lt;&gt;Ref!$A$8,$H$57&gt;0)),COUNT(SEARCH(Sonderarbeit,$N30))&gt;=1)),C30="Ausgleich"),H30-F30,"")</f>
        <v/>
      </c>
      <c r="K30" s="166" t="str">
        <f>IF(AND(B30=Ref!$A$8,SUM(I24:I30)&lt;SUM(J24:J30)),"-","")</f>
        <v/>
      </c>
      <c r="L30" s="167" t="str">
        <f>IF(B30=Ref!$A$8,ABS(SUM(I24:I30)-SUM(J24:J30)),"")</f>
        <v/>
      </c>
    </row>
    <row r="31" spans="1:14" ht="17.45" customHeight="1" x14ac:dyDescent="0.35">
      <c r="A31" s="168">
        <v>13</v>
      </c>
      <c r="B31" s="156" t="str">
        <f t="shared" si="1"/>
        <v>Dienstag</v>
      </c>
      <c r="C31" s="157">
        <v>0.35416666666666669</v>
      </c>
      <c r="D31" s="157">
        <v>0.70833333333333337</v>
      </c>
      <c r="E31" s="157">
        <v>2.0833333333333332E-2</v>
      </c>
      <c r="F31" s="158">
        <f t="shared" si="2"/>
        <v>0.33333333333333337</v>
      </c>
      <c r="G31" s="159"/>
      <c r="H31" s="160">
        <f t="shared" si="3"/>
        <v>0.33333333333333331</v>
      </c>
      <c r="I31" s="161" t="str">
        <f>IF(AND(F31&gt;H31,OR(AND(OR($B31&lt;&gt;Ref!$A$7,$H$56&gt;0),OR($B31&lt;&gt;Ref!$A$8,$H$57&gt;0)),COUNT(SEARCH(Sonderarbeit,$N31))&gt;=1),ISNONTEXT(C31),C31&lt;&gt;""),F31-H31,"")</f>
        <v/>
      </c>
      <c r="J31" s="162" t="str">
        <f>IF(OR(AND(F31&lt;H31,OR(AND(OR($B31&lt;&gt;Ref!$A$7,$H$56&gt;0),OR($B31&lt;&gt;Ref!$A$8,$H$57&gt;0)),COUNT(SEARCH(Sonderarbeit,$N31))&gt;=1)),C31="Ausgleich"),H31-F31,"")</f>
        <v/>
      </c>
      <c r="K31" s="166" t="str">
        <f>IF(AND(B31=Ref!$A$8,SUM(I25:I31)&lt;SUM(J25:J31)),"-","")</f>
        <v/>
      </c>
      <c r="L31" s="167" t="str">
        <f>IF(B31=Ref!$A$8,ABS(SUM(I25:I31)-SUM(J25:J31)),"")</f>
        <v/>
      </c>
    </row>
    <row r="32" spans="1:14" ht="17.45" customHeight="1" x14ac:dyDescent="0.35">
      <c r="A32" s="168">
        <v>14</v>
      </c>
      <c r="B32" s="156" t="str">
        <f t="shared" si="1"/>
        <v>Mittwoch</v>
      </c>
      <c r="C32" s="157">
        <v>0.35416666666666669</v>
      </c>
      <c r="D32" s="157">
        <v>0.70833333333333337</v>
      </c>
      <c r="E32" s="157">
        <v>2.0833333333333332E-2</v>
      </c>
      <c r="F32" s="158">
        <f t="shared" si="2"/>
        <v>0.33333333333333337</v>
      </c>
      <c r="G32" s="159"/>
      <c r="H32" s="160">
        <f t="shared" si="3"/>
        <v>0.33333333333333331</v>
      </c>
      <c r="I32" s="161" t="str">
        <f>IF(AND(F32&gt;H32,OR(AND(OR($B32&lt;&gt;Ref!$A$7,$H$56&gt;0),OR($B32&lt;&gt;Ref!$A$8,$H$57&gt;0)),COUNT(SEARCH(Sonderarbeit,$N32))&gt;=1),ISNONTEXT(C32),C32&lt;&gt;""),F32-H32,"")</f>
        <v/>
      </c>
      <c r="J32" s="162" t="str">
        <f>IF(OR(AND(F32&lt;H32,OR(AND(OR($B32&lt;&gt;Ref!$A$7,$H$56&gt;0),OR($B32&lt;&gt;Ref!$A$8,$H$57&gt;0)),COUNT(SEARCH(Sonderarbeit,$N32))&gt;=1)),C32="Ausgleich"),H32-F32,"")</f>
        <v/>
      </c>
      <c r="K32" s="166" t="str">
        <f>IF(AND(B32=Ref!$A$8,SUM(I26:I32)&lt;SUM(J26:J32)),"-","")</f>
        <v/>
      </c>
      <c r="L32" s="167" t="str">
        <f>IF(B32=Ref!$A$8,ABS(SUM(I26:I32)-SUM(J26:J32)),"")</f>
        <v/>
      </c>
    </row>
    <row r="33" spans="1:14" ht="17.45" customHeight="1" x14ac:dyDescent="0.35">
      <c r="A33" s="155">
        <v>15</v>
      </c>
      <c r="B33" s="156" t="str">
        <f t="shared" si="1"/>
        <v>Donnerstag</v>
      </c>
      <c r="C33" s="157">
        <v>0.35416666666666669</v>
      </c>
      <c r="D33" s="157">
        <v>0.70833333333333337</v>
      </c>
      <c r="E33" s="157">
        <v>2.0833333333333332E-2</v>
      </c>
      <c r="F33" s="158">
        <f t="shared" si="2"/>
        <v>0.33333333333333337</v>
      </c>
      <c r="G33" s="159"/>
      <c r="H33" s="160">
        <f t="shared" si="3"/>
        <v>0.33333333333333331</v>
      </c>
      <c r="I33" s="161" t="str">
        <f>IF(AND(F33&gt;H33,OR(AND(OR($B33&lt;&gt;Ref!$A$7,$H$56&gt;0),OR($B33&lt;&gt;Ref!$A$8,$H$57&gt;0)),COUNT(SEARCH(Sonderarbeit,$N33))&gt;=1),ISNONTEXT(C33),C33&lt;&gt;""),F33-H33,"")</f>
        <v/>
      </c>
      <c r="J33" s="162" t="str">
        <f>IF(OR(AND(F33&lt;H33,OR(AND(OR($B33&lt;&gt;Ref!$A$7,$H$56&gt;0),OR($B33&lt;&gt;Ref!$A$8,$H$57&gt;0)),COUNT(SEARCH(Sonderarbeit,$N33))&gt;=1)),C33="Ausgleich"),H33-F33,"")</f>
        <v/>
      </c>
      <c r="K33" s="166" t="str">
        <f>IF(AND(B33=Ref!$A$8,SUM(I27:I33)&lt;SUM(J27:J33)),"-","")</f>
        <v/>
      </c>
      <c r="L33" s="167" t="str">
        <f>IF(B33=Ref!$A$8,ABS(SUM(I27:I33)-SUM(J27:J33)),"")</f>
        <v/>
      </c>
    </row>
    <row r="34" spans="1:14" ht="17.45" customHeight="1" x14ac:dyDescent="0.35">
      <c r="A34" s="155">
        <v>16</v>
      </c>
      <c r="B34" s="156" t="str">
        <f t="shared" si="1"/>
        <v>Freitag</v>
      </c>
      <c r="C34" s="157">
        <v>0.35416666666666669</v>
      </c>
      <c r="D34" s="157">
        <v>0.70833333333333337</v>
      </c>
      <c r="E34" s="157">
        <v>2.0833333333333332E-2</v>
      </c>
      <c r="F34" s="158">
        <f t="shared" si="2"/>
        <v>0.33333333333333337</v>
      </c>
      <c r="G34" s="159"/>
      <c r="H34" s="160">
        <f t="shared" si="3"/>
        <v>0.3125</v>
      </c>
      <c r="I34" s="161">
        <f>IF(AND(F34&gt;H34,OR(AND(OR($B34&lt;&gt;Ref!$A$7,$H$56&gt;0),OR($B34&lt;&gt;Ref!$A$8,$H$57&gt;0)),COUNT(SEARCH(Sonderarbeit,$N34))&gt;=1),ISNONTEXT(C34),C34&lt;&gt;""),F34-H34,"")</f>
        <v>2.083333333333337E-2</v>
      </c>
      <c r="J34" s="162" t="str">
        <f>IF(OR(AND(F34&lt;H34,OR(AND(OR($B34&lt;&gt;Ref!$A$7,$H$56&gt;0),OR($B34&lt;&gt;Ref!$A$8,$H$57&gt;0)),COUNT(SEARCH(Sonderarbeit,$N34))&gt;=1)),C34="Ausgleich"),H34-F34,"")</f>
        <v/>
      </c>
      <c r="K34" s="166" t="str">
        <f>IF(AND(B34=Ref!$A$8,SUM(I28:I34)&lt;SUM(J28:J34)),"-","")</f>
        <v/>
      </c>
      <c r="L34" s="167" t="str">
        <f>IF(B34=Ref!$A$8,ABS(SUM(I28:I34)-SUM(J28:J34)),"")</f>
        <v/>
      </c>
    </row>
    <row r="35" spans="1:14" ht="17.45" customHeight="1" x14ac:dyDescent="0.35">
      <c r="A35" s="155">
        <v>17</v>
      </c>
      <c r="B35" s="156" t="str">
        <f t="shared" si="1"/>
        <v>Samstag</v>
      </c>
      <c r="C35" s="157">
        <v>0.35416666666666669</v>
      </c>
      <c r="D35" s="157">
        <v>0.70833333333333337</v>
      </c>
      <c r="E35" s="157">
        <v>2.0833333333333332E-2</v>
      </c>
      <c r="F35" s="158">
        <f t="shared" si="2"/>
        <v>0.33333333333333337</v>
      </c>
      <c r="G35" s="159"/>
      <c r="H35" s="160">
        <f t="shared" si="3"/>
        <v>0</v>
      </c>
      <c r="I35" s="161" t="str">
        <f>IF(AND(F35&gt;H35,OR(AND(OR($B35&lt;&gt;Ref!$A$7,$H$56&gt;0),OR($B35&lt;&gt;Ref!$A$8,$H$57&gt;0)),COUNT(SEARCH(Sonderarbeit,$N35))&gt;=1),ISNONTEXT(C35),C35&lt;&gt;""),F35-H35,"")</f>
        <v/>
      </c>
      <c r="J35" s="162" t="str">
        <f>IF(OR(AND(F35&lt;H35,OR(AND(OR($B35&lt;&gt;Ref!$A$7,$H$56&gt;0),OR($B35&lt;&gt;Ref!$A$8,$H$57&gt;0)),COUNT(SEARCH(Sonderarbeit,$N35))&gt;=1)),C35="Ausgleich"),H35-F35,"")</f>
        <v/>
      </c>
      <c r="K35" s="166" t="str">
        <f>IF(AND(B35=Ref!$A$8,SUM(I29:I35)&lt;SUM(J29:J35)),"-","")</f>
        <v/>
      </c>
      <c r="L35" s="167" t="str">
        <f>IF(B35=Ref!$A$8,ABS(SUM(I29:I35)-SUM(J29:J35)),"")</f>
        <v/>
      </c>
    </row>
    <row r="36" spans="1:14" ht="17.45" customHeight="1" x14ac:dyDescent="0.35">
      <c r="A36" s="155">
        <v>18</v>
      </c>
      <c r="B36" s="156" t="str">
        <f t="shared" si="1"/>
        <v>Sonntag</v>
      </c>
      <c r="C36" s="157">
        <v>0.35416666666666669</v>
      </c>
      <c r="D36" s="157">
        <v>0.70833333333333337</v>
      </c>
      <c r="E36" s="157">
        <v>2.0833333333333332E-2</v>
      </c>
      <c r="F36" s="158">
        <f t="shared" si="2"/>
        <v>0.33333333333333337</v>
      </c>
      <c r="G36" s="159"/>
      <c r="H36" s="160">
        <f t="shared" si="3"/>
        <v>0</v>
      </c>
      <c r="I36" s="161" t="str">
        <f>IF(AND(F36&gt;H36,OR(AND(OR($B36&lt;&gt;Ref!$A$7,$H$56&gt;0),OR($B36&lt;&gt;Ref!$A$8,$H$57&gt;0)),COUNT(SEARCH(Sonderarbeit,$N36))&gt;=1),ISNONTEXT(C36),C36&lt;&gt;""),F36-H36,"")</f>
        <v/>
      </c>
      <c r="J36" s="162" t="str">
        <f>IF(OR(AND(F36&lt;H36,OR(AND(OR($B36&lt;&gt;Ref!$A$7,$H$56&gt;0),OR($B36&lt;&gt;Ref!$A$8,$H$57&gt;0)),COUNT(SEARCH(Sonderarbeit,$N36))&gt;=1)),C36="Ausgleich"),H36-F36,"")</f>
        <v/>
      </c>
      <c r="K36" s="166" t="str">
        <f>IF(AND(B36=Ref!$A$8,SUM(I30:I36)&lt;SUM(J30:J36)),"-","")</f>
        <v/>
      </c>
      <c r="L36" s="167">
        <f>IF(B36=Ref!$A$8,ABS(SUM(I30:I36)-SUM(J30:J36)),"")</f>
        <v>2.083333333333337E-2</v>
      </c>
    </row>
    <row r="37" spans="1:14" ht="17.45" customHeight="1" x14ac:dyDescent="0.35">
      <c r="A37" s="155">
        <v>19</v>
      </c>
      <c r="B37" s="156" t="str">
        <f t="shared" si="1"/>
        <v>Montag</v>
      </c>
      <c r="C37" s="157">
        <v>0.35416666666666669</v>
      </c>
      <c r="D37" s="157">
        <v>0.70833333333333337</v>
      </c>
      <c r="E37" s="157">
        <v>2.0833333333333332E-2</v>
      </c>
      <c r="F37" s="158">
        <f t="shared" si="2"/>
        <v>0.33333333333333337</v>
      </c>
      <c r="G37" s="159"/>
      <c r="H37" s="160">
        <f t="shared" si="3"/>
        <v>0.33333333333333331</v>
      </c>
      <c r="I37" s="161" t="str">
        <f>IF(AND(F37&gt;H37,OR(AND(OR($B37&lt;&gt;Ref!$A$7,$H$56&gt;0),OR($B37&lt;&gt;Ref!$A$8,$H$57&gt;0)),COUNT(SEARCH(Sonderarbeit,$N37))&gt;=1),ISNONTEXT(C37),C37&lt;&gt;""),F37-H37,"")</f>
        <v/>
      </c>
      <c r="J37" s="162" t="str">
        <f>IF(OR(AND(F37&lt;H37,OR(AND(OR($B37&lt;&gt;Ref!$A$7,$H$56&gt;0),OR($B37&lt;&gt;Ref!$A$8,$H$57&gt;0)),COUNT(SEARCH(Sonderarbeit,$N37))&gt;=1)),C37="Ausgleich"),H37-F37,"")</f>
        <v/>
      </c>
      <c r="K37" s="166" t="str">
        <f>IF(AND(B37=Ref!$A$8,SUM(I31:I37)&lt;SUM(J31:J37)),"-","")</f>
        <v/>
      </c>
      <c r="L37" s="167" t="str">
        <f>IF(B37=Ref!$A$8,ABS(SUM(I31:I37)-SUM(J31:J37)),"")</f>
        <v/>
      </c>
    </row>
    <row r="38" spans="1:14" ht="17.45" customHeight="1" x14ac:dyDescent="0.35">
      <c r="A38" s="155">
        <v>20</v>
      </c>
      <c r="B38" s="156" t="str">
        <f t="shared" si="1"/>
        <v>Dienstag</v>
      </c>
      <c r="C38" s="157">
        <v>0.35416666666666669</v>
      </c>
      <c r="D38" s="157">
        <v>0.70833333333333337</v>
      </c>
      <c r="E38" s="157">
        <v>2.0833333333333332E-2</v>
      </c>
      <c r="F38" s="158">
        <f t="shared" si="2"/>
        <v>0.33333333333333337</v>
      </c>
      <c r="G38" s="159"/>
      <c r="H38" s="160">
        <f t="shared" si="3"/>
        <v>0.33333333333333331</v>
      </c>
      <c r="I38" s="161" t="str">
        <f>IF(AND(F38&gt;H38,OR(AND(OR($B38&lt;&gt;Ref!$A$7,$H$56&gt;0),OR($B38&lt;&gt;Ref!$A$8,$H$57&gt;0)),COUNT(SEARCH(Sonderarbeit,$N38))&gt;=1),ISNONTEXT(C38),C38&lt;&gt;""),F38-H38,"")</f>
        <v/>
      </c>
      <c r="J38" s="162" t="str">
        <f>IF(OR(AND(F38&lt;H38,OR(AND(OR($B38&lt;&gt;Ref!$A$7,$H$56&gt;0),OR($B38&lt;&gt;Ref!$A$8,$H$57&gt;0)),COUNT(SEARCH(Sonderarbeit,$N38))&gt;=1)),C38="Ausgleich"),H38-F38,"")</f>
        <v/>
      </c>
      <c r="K38" s="166" t="str">
        <f>IF(AND(B38=Ref!$A$8,SUM(I32:I38)&lt;SUM(J32:J38)),"-","")</f>
        <v/>
      </c>
      <c r="L38" s="167" t="str">
        <f>IF(B38=Ref!$A$8,ABS(SUM(I32:I38)-SUM(J32:J38)),"")</f>
        <v/>
      </c>
    </row>
    <row r="39" spans="1:14" ht="17.45" customHeight="1" x14ac:dyDescent="0.35">
      <c r="A39" s="155">
        <v>21</v>
      </c>
      <c r="B39" s="156" t="str">
        <f t="shared" si="1"/>
        <v>Mittwoch</v>
      </c>
      <c r="C39" s="157">
        <v>0.35416666666666669</v>
      </c>
      <c r="D39" s="157">
        <v>0.70833333333333337</v>
      </c>
      <c r="E39" s="157">
        <v>2.0833333333333332E-2</v>
      </c>
      <c r="F39" s="158">
        <f t="shared" si="2"/>
        <v>0.33333333333333337</v>
      </c>
      <c r="G39" s="159"/>
      <c r="H39" s="160">
        <f t="shared" si="3"/>
        <v>0.33333333333333331</v>
      </c>
      <c r="I39" s="161" t="str">
        <f>IF(AND(F39&gt;H39,OR(AND(OR($B39&lt;&gt;Ref!$A$7,$H$56&gt;0),OR($B39&lt;&gt;Ref!$A$8,$H$57&gt;0)),COUNT(SEARCH(Sonderarbeit,$N39))&gt;=1),ISNONTEXT(C39),C39&lt;&gt;""),F39-H39,"")</f>
        <v/>
      </c>
      <c r="J39" s="162" t="str">
        <f>IF(OR(AND(F39&lt;H39,OR(AND(OR($B39&lt;&gt;Ref!$A$7,$H$56&gt;0),OR($B39&lt;&gt;Ref!$A$8,$H$57&gt;0)),COUNT(SEARCH(Sonderarbeit,$N39))&gt;=1)),C39="Ausgleich"),H39-F39,"")</f>
        <v/>
      </c>
      <c r="K39" s="166" t="str">
        <f>IF(AND(B39=Ref!$A$8,SUM(I33:I39)&lt;SUM(J33:J39)),"-","")</f>
        <v/>
      </c>
      <c r="L39" s="167" t="str">
        <f>IF(B39=Ref!$A$8,ABS(SUM(I33:I39)-SUM(J33:J39)),"")</f>
        <v/>
      </c>
    </row>
    <row r="40" spans="1:14" ht="17.45" customHeight="1" x14ac:dyDescent="0.35">
      <c r="A40" s="155">
        <v>22</v>
      </c>
      <c r="B40" s="156" t="str">
        <f t="shared" si="1"/>
        <v>Donnerstag</v>
      </c>
      <c r="C40" s="157">
        <v>0.35416666666666669</v>
      </c>
      <c r="D40" s="157">
        <v>0.70833333333333337</v>
      </c>
      <c r="E40" s="157">
        <v>2.0833333333333332E-2</v>
      </c>
      <c r="F40" s="158">
        <f t="shared" si="2"/>
        <v>0.33333333333333337</v>
      </c>
      <c r="G40" s="159"/>
      <c r="H40" s="160">
        <f t="shared" si="3"/>
        <v>0.33333333333333331</v>
      </c>
      <c r="I40" s="161" t="str">
        <f>IF(AND(F40&gt;H40,OR(AND(OR($B40&lt;&gt;Ref!$A$7,$H$56&gt;0),OR($B40&lt;&gt;Ref!$A$8,$H$57&gt;0)),COUNT(SEARCH(Sonderarbeit,$N40))&gt;=1),ISNONTEXT(C40),C40&lt;&gt;""),F40-H40,"")</f>
        <v/>
      </c>
      <c r="J40" s="162" t="str">
        <f>IF(OR(AND(F40&lt;H40,OR(AND(OR($B40&lt;&gt;Ref!$A$7,$H$56&gt;0),OR($B40&lt;&gt;Ref!$A$8,$H$57&gt;0)),COUNT(SEARCH(Sonderarbeit,$N40))&gt;=1)),C40="Ausgleich"),H40-F40,"")</f>
        <v/>
      </c>
      <c r="K40" s="166" t="str">
        <f>IF(AND(B40=Ref!$A$8,SUM(I34:I40)&lt;SUM(J34:J40)),"-","")</f>
        <v/>
      </c>
      <c r="L40" s="167" t="str">
        <f>IF(B40=Ref!$A$8,ABS(SUM(I34:I40)-SUM(J34:J40)),"")</f>
        <v/>
      </c>
    </row>
    <row r="41" spans="1:14" ht="17.45" customHeight="1" x14ac:dyDescent="0.35">
      <c r="A41" s="155">
        <v>23</v>
      </c>
      <c r="B41" s="156" t="str">
        <f t="shared" si="1"/>
        <v>Freitag</v>
      </c>
      <c r="C41" s="157">
        <v>0.35416666666666669</v>
      </c>
      <c r="D41" s="157">
        <v>0.70833333333333337</v>
      </c>
      <c r="E41" s="157">
        <v>2.0833333333333332E-2</v>
      </c>
      <c r="F41" s="158">
        <f t="shared" si="2"/>
        <v>0.33333333333333337</v>
      </c>
      <c r="G41" s="159"/>
      <c r="H41" s="160">
        <f t="shared" si="3"/>
        <v>0.3125</v>
      </c>
      <c r="I41" s="161">
        <f>IF(AND(F41&gt;H41,OR(AND(OR($B41&lt;&gt;Ref!$A$7,$H$56&gt;0),OR($B41&lt;&gt;Ref!$A$8,$H$57&gt;0)),COUNT(SEARCH(Sonderarbeit,$N41))&gt;=1),ISNONTEXT(C41),C41&lt;&gt;""),F41-H41,"")</f>
        <v>2.083333333333337E-2</v>
      </c>
      <c r="J41" s="162" t="str">
        <f>IF(OR(AND(F41&lt;H41,OR(AND(OR($B41&lt;&gt;Ref!$A$7,$H$56&gt;0),OR($B41&lt;&gt;Ref!$A$8,$H$57&gt;0)),COUNT(SEARCH(Sonderarbeit,$N41))&gt;=1)),C41="Ausgleich"),H41-F41,"")</f>
        <v/>
      </c>
      <c r="K41" s="166" t="str">
        <f>IF(AND(B41=Ref!$A$8,SUM(I35:I41)&lt;SUM(J35:J41)),"-","")</f>
        <v/>
      </c>
      <c r="L41" s="167" t="str">
        <f>IF(B41=Ref!$A$8,ABS(SUM(I35:I41)-SUM(J35:J41)),"")</f>
        <v/>
      </c>
      <c r="N41" s="100" t="str">
        <f>IF(Mantelbogen!$C$8="Geschäftsstelle", "Klassensitzung", "")</f>
        <v>Klassensitzung</v>
      </c>
    </row>
    <row r="42" spans="1:14" ht="17.45" customHeight="1" x14ac:dyDescent="0.35">
      <c r="A42" s="155">
        <v>24</v>
      </c>
      <c r="B42" s="156" t="str">
        <f t="shared" si="1"/>
        <v>Samstag</v>
      </c>
      <c r="C42" s="157">
        <v>0.35416666666666669</v>
      </c>
      <c r="D42" s="157">
        <v>0.70833333333333337</v>
      </c>
      <c r="E42" s="157">
        <v>2.0833333333333332E-2</v>
      </c>
      <c r="F42" s="158">
        <f t="shared" si="2"/>
        <v>0.33333333333333337</v>
      </c>
      <c r="G42" s="159"/>
      <c r="H42" s="160">
        <f t="shared" si="3"/>
        <v>0</v>
      </c>
      <c r="I42" s="161">
        <f>IF(AND(F42&gt;H42,OR(AND(OR($B42&lt;&gt;Ref!$A$7,$H$56&gt;0),OR($B42&lt;&gt;Ref!$A$8,$H$57&gt;0)),COUNT(SEARCH(Sonderarbeit,$N42))&gt;=1),ISNONTEXT(C42),C42&lt;&gt;""),F42-H42,"")</f>
        <v>0.33333333333333337</v>
      </c>
      <c r="J42" s="162" t="str">
        <f>IF(OR(AND(F42&lt;H42,OR(AND(OR($B42&lt;&gt;Ref!$A$7,$H$56&gt;0),OR($B42&lt;&gt;Ref!$A$8,$H$57&gt;0)),COUNT(SEARCH(Sonderarbeit,$N42))&gt;=1)),C42="Ausgleich"),H42-F42,"")</f>
        <v/>
      </c>
      <c r="K42" s="166" t="str">
        <f>IF(AND(B42=Ref!$A$8,SUM(I36:I42)&lt;SUM(J36:J42)),"-","")</f>
        <v/>
      </c>
      <c r="L42" s="167" t="str">
        <f>IF(B42=Ref!$A$8,ABS(SUM(I36:I42)-SUM(J36:J42)),"")</f>
        <v/>
      </c>
      <c r="N42" s="100" t="str">
        <f>IF(Mantelbogen!$C$8="Geschäftsstelle", "Gesamtsitzung", "")</f>
        <v>Gesamtsitzung</v>
      </c>
    </row>
    <row r="43" spans="1:14" ht="17.45" customHeight="1" x14ac:dyDescent="0.35">
      <c r="A43" s="155">
        <v>25</v>
      </c>
      <c r="B43" s="156" t="str">
        <f t="shared" si="1"/>
        <v>Sonntag</v>
      </c>
      <c r="C43" s="157">
        <v>0.35416666666666669</v>
      </c>
      <c r="D43" s="157">
        <v>0.70833333333333337</v>
      </c>
      <c r="E43" s="157">
        <v>2.0833333333333332E-2</v>
      </c>
      <c r="F43" s="158">
        <f t="shared" si="2"/>
        <v>0.33333333333333337</v>
      </c>
      <c r="G43" s="159"/>
      <c r="H43" s="160">
        <f t="shared" si="3"/>
        <v>0</v>
      </c>
      <c r="I43" s="161" t="str">
        <f>IF(AND(F43&gt;H43,OR(AND(OR($B43&lt;&gt;Ref!$A$7,$H$56&gt;0),OR($B43&lt;&gt;Ref!$A$8,$H$57&gt;0)),COUNT(SEARCH(Sonderarbeit,$N43))&gt;=1),ISNONTEXT(C43),C43&lt;&gt;""),F43-H43,"")</f>
        <v/>
      </c>
      <c r="J43" s="162" t="str">
        <f>IF(OR(AND(F43&lt;H43,OR(AND(OR($B43&lt;&gt;Ref!$A$7,$H$56&gt;0),OR($B43&lt;&gt;Ref!$A$8,$H$57&gt;0)),COUNT(SEARCH(Sonderarbeit,$N43))&gt;=1)),C43="Ausgleich"),H43-F43,"")</f>
        <v/>
      </c>
      <c r="K43" s="166" t="str">
        <f>IF(AND(B43=Ref!$A$8,SUM(I37:I43)&lt;SUM(J37:J43)),"-","")</f>
        <v/>
      </c>
      <c r="L43" s="167">
        <f>IF(B43=Ref!$A$8,ABS(SUM(I37:I43)-SUM(J37:J43)),"")</f>
        <v>0.35416666666666674</v>
      </c>
    </row>
    <row r="44" spans="1:14" ht="17.45" customHeight="1" x14ac:dyDescent="0.35">
      <c r="A44" s="155">
        <v>26</v>
      </c>
      <c r="B44" s="156" t="str">
        <f t="shared" si="1"/>
        <v>Montag</v>
      </c>
      <c r="C44" s="157">
        <v>0.35416666666666669</v>
      </c>
      <c r="D44" s="157">
        <v>0.70833333333333337</v>
      </c>
      <c r="E44" s="157">
        <v>2.0833333333333332E-2</v>
      </c>
      <c r="F44" s="158">
        <f t="shared" si="2"/>
        <v>0.33333333333333337</v>
      </c>
      <c r="G44" s="159"/>
      <c r="H44" s="160">
        <f t="shared" si="3"/>
        <v>0.33333333333333331</v>
      </c>
      <c r="I44" s="161" t="str">
        <f>IF(AND(F44&gt;H44,OR(AND(OR($B44&lt;&gt;Ref!$A$7,$H$56&gt;0),OR($B44&lt;&gt;Ref!$A$8,$H$57&gt;0)),COUNT(SEARCH(Sonderarbeit,$N44))&gt;=1),ISNONTEXT(C44),C44&lt;&gt;""),F44-H44,"")</f>
        <v/>
      </c>
      <c r="J44" s="162" t="str">
        <f>IF(OR(AND(F44&lt;H44,OR(AND(OR($B44&lt;&gt;Ref!$A$7,$H$56&gt;0),OR($B44&lt;&gt;Ref!$A$8,$H$57&gt;0)),COUNT(SEARCH(Sonderarbeit,$N44))&gt;=1)),C44="Ausgleich"),H44-F44,"")</f>
        <v/>
      </c>
      <c r="K44" s="166" t="str">
        <f>IF(AND(B44=Ref!$A$8,SUM(I38:I44)&lt;SUM(J38:J44)),"-","")</f>
        <v/>
      </c>
      <c r="L44" s="167" t="str">
        <f>IF(B44=Ref!$A$8,ABS(SUM(I38:I44)-SUM(J38:J44)),"")</f>
        <v/>
      </c>
    </row>
    <row r="45" spans="1:14" ht="17.45" customHeight="1" x14ac:dyDescent="0.35">
      <c r="A45" s="155">
        <v>27</v>
      </c>
      <c r="B45" s="156" t="str">
        <f t="shared" si="1"/>
        <v>Dienstag</v>
      </c>
      <c r="C45" s="157">
        <v>0.35416666666666669</v>
      </c>
      <c r="D45" s="157">
        <v>0.70833333333333337</v>
      </c>
      <c r="E45" s="157">
        <v>2.0833333333333332E-2</v>
      </c>
      <c r="F45" s="158">
        <f t="shared" si="2"/>
        <v>0.33333333333333337</v>
      </c>
      <c r="G45" s="159"/>
      <c r="H45" s="160">
        <f t="shared" si="3"/>
        <v>0.33333333333333331</v>
      </c>
      <c r="I45" s="161" t="str">
        <f>IF(AND(F45&gt;H45,OR(AND(OR($B45&lt;&gt;Ref!$A$7,$H$56&gt;0),OR($B45&lt;&gt;Ref!$A$8,$H$57&gt;0)),COUNT(SEARCH(Sonderarbeit,$N45))&gt;=1),ISNONTEXT(C45),C45&lt;&gt;""),F45-H45,"")</f>
        <v/>
      </c>
      <c r="J45" s="162" t="str">
        <f>IF(OR(AND(F45&lt;H45,OR(AND(OR($B45&lt;&gt;Ref!$A$7,$H$56&gt;0),OR($B45&lt;&gt;Ref!$A$8,$H$57&gt;0)),COUNT(SEARCH(Sonderarbeit,$N45))&gt;=1)),C45="Ausgleich"),H45-F45,"")</f>
        <v/>
      </c>
      <c r="K45" s="166" t="str">
        <f>IF(AND(B45=Ref!$A$8,SUM(I39:I45)&lt;SUM(J39:J45)),"-","")</f>
        <v/>
      </c>
      <c r="L45" s="167" t="str">
        <f>IF(B45=Ref!$A$8,ABS(SUM(I39:I45)-SUM(J39:J45)),"")</f>
        <v/>
      </c>
    </row>
    <row r="46" spans="1:14" ht="17.45" customHeight="1" x14ac:dyDescent="0.35">
      <c r="A46" s="155">
        <v>28</v>
      </c>
      <c r="B46" s="156" t="str">
        <f t="shared" si="1"/>
        <v>Mittwoch</v>
      </c>
      <c r="C46" s="157">
        <v>0.35416666666666669</v>
      </c>
      <c r="D46" s="157">
        <v>0.70833333333333337</v>
      </c>
      <c r="E46" s="157">
        <v>2.0833333333333332E-2</v>
      </c>
      <c r="F46" s="158">
        <f t="shared" si="2"/>
        <v>0.33333333333333337</v>
      </c>
      <c r="G46" s="159"/>
      <c r="H46" s="160">
        <f t="shared" si="3"/>
        <v>0.33333333333333331</v>
      </c>
      <c r="I46" s="161" t="str">
        <f>IF(AND(F46&gt;H46,OR(AND(OR($B46&lt;&gt;Ref!$A$7,$H$56&gt;0),OR($B46&lt;&gt;Ref!$A$8,$H$57&gt;0)),COUNT(SEARCH(Sonderarbeit,$N46))&gt;=1),ISNONTEXT(C46),C46&lt;&gt;""),F46-H46,"")</f>
        <v/>
      </c>
      <c r="J46" s="162" t="str">
        <f>IF(OR(AND(F46&lt;H46,OR(AND(OR($B46&lt;&gt;Ref!$A$7,$H$56&gt;0),OR($B46&lt;&gt;Ref!$A$8,$H$57&gt;0)),COUNT(SEARCH(Sonderarbeit,$N46))&gt;=1)),C46="Ausgleich"),H46-F46,"")</f>
        <v/>
      </c>
      <c r="K46" s="166" t="str">
        <f>IF(AND(B46=Ref!$A$8,SUM(I40:I46)&lt;SUM(J40:J46)),"-","")</f>
        <v/>
      </c>
      <c r="L46" s="167" t="str">
        <f>IF(B46=Ref!$A$8,ABS(SUM(I40:I46)-SUM(J40:J46)),"")</f>
        <v/>
      </c>
    </row>
    <row r="47" spans="1:14" ht="17.45" customHeight="1" x14ac:dyDescent="0.35">
      <c r="A47" s="155">
        <v>29</v>
      </c>
      <c r="B47" s="156" t="str">
        <f t="shared" si="1"/>
        <v>Donnerstag</v>
      </c>
      <c r="C47" s="157">
        <v>0.35416666666666669</v>
      </c>
      <c r="D47" s="157">
        <v>0.70833333333333337</v>
      </c>
      <c r="E47" s="157">
        <v>2.0833333333333332E-2</v>
      </c>
      <c r="F47" s="158">
        <f t="shared" si="2"/>
        <v>0.33333333333333337</v>
      </c>
      <c r="G47" s="159"/>
      <c r="H47" s="160">
        <f t="shared" si="3"/>
        <v>0.33333333333333331</v>
      </c>
      <c r="I47" s="161" t="str">
        <f>IF(AND(F47&gt;H47,OR(AND(OR($B47&lt;&gt;Ref!$A$7,$H$56&gt;0),OR($B47&lt;&gt;Ref!$A$8,$H$57&gt;0)),COUNT(SEARCH(Sonderarbeit,$N47))&gt;=1),ISNONTEXT(C47),C47&lt;&gt;""),F47-H47,"")</f>
        <v/>
      </c>
      <c r="J47" s="162" t="str">
        <f>IF(OR(AND(F47&lt;H47,OR(AND(OR($B47&lt;&gt;Ref!$A$7,$H$56&gt;0),OR($B47&lt;&gt;Ref!$A$8,$H$57&gt;0)),COUNT(SEARCH(Sonderarbeit,$N47))&gt;=1)),C47="Ausgleich"),H47-F47,"")</f>
        <v/>
      </c>
      <c r="K47" s="166" t="str">
        <f>IF(AND(B47=Ref!$A$8,SUM(I41:I47)&lt;SUM(J41:J47)),"-","")</f>
        <v/>
      </c>
      <c r="L47" s="167" t="str">
        <f>IF(B47=Ref!$A$8,ABS(SUM(I41:I47)-SUM(J41:J47)),"")</f>
        <v/>
      </c>
    </row>
    <row r="48" spans="1:14" ht="17.45" customHeight="1" x14ac:dyDescent="0.35">
      <c r="A48" s="155">
        <v>30</v>
      </c>
      <c r="B48" s="156" t="str">
        <f t="shared" si="1"/>
        <v>Freitag</v>
      </c>
      <c r="C48" s="157">
        <v>0.35416666666666669</v>
      </c>
      <c r="D48" s="157">
        <v>0.70833333333333337</v>
      </c>
      <c r="E48" s="157">
        <v>2.0833333333333332E-2</v>
      </c>
      <c r="F48" s="158">
        <f t="shared" si="2"/>
        <v>0.33333333333333337</v>
      </c>
      <c r="G48" s="159"/>
      <c r="H48" s="160">
        <f t="shared" si="3"/>
        <v>0.3125</v>
      </c>
      <c r="I48" s="161">
        <f>IF(AND(F48&gt;H48,OR(AND(OR($B48&lt;&gt;Ref!$A$7,$H$56&gt;0),OR($B48&lt;&gt;Ref!$A$8,$H$57&gt;0)),COUNT(SEARCH(Sonderarbeit,$N48))&gt;=1),ISNONTEXT(C48),C48&lt;&gt;""),F48-H48,"")</f>
        <v>2.083333333333337E-2</v>
      </c>
      <c r="J48" s="162" t="str">
        <f>IF(OR(AND(F48&lt;H48,OR(AND(OR($B48&lt;&gt;Ref!$A$7,$H$56&gt;0),OR($B48&lt;&gt;Ref!$A$8,$H$57&gt;0)),COUNT(SEARCH(Sonderarbeit,$N48))&gt;=1)),C48="Ausgleich"),H48-F48,"")</f>
        <v/>
      </c>
      <c r="K48" s="166" t="str">
        <f>IF(AND(B48=Ref!$A$8,SUM(I42:I48)&lt;SUM(J42:J48)),"-","")</f>
        <v/>
      </c>
      <c r="L48" s="167" t="str">
        <f>IF(B48=Ref!$A$8,ABS(SUM(I42:I48)-SUM(J42:J48)),"")</f>
        <v/>
      </c>
    </row>
    <row r="49" spans="1:14" ht="17.45" customHeight="1" x14ac:dyDescent="0.35">
      <c r="A49" s="155">
        <v>31</v>
      </c>
      <c r="B49" s="156" t="str">
        <f t="shared" si="1"/>
        <v>Samstag</v>
      </c>
      <c r="C49" s="157">
        <v>0.35416666666666669</v>
      </c>
      <c r="D49" s="157">
        <v>0.70833333333333337</v>
      </c>
      <c r="E49" s="157">
        <v>2.0833333333333332E-2</v>
      </c>
      <c r="F49" s="170">
        <f t="shared" si="2"/>
        <v>0.33333333333333337</v>
      </c>
      <c r="G49" s="171"/>
      <c r="H49" s="160">
        <f t="shared" si="3"/>
        <v>0</v>
      </c>
      <c r="I49" s="161" t="str">
        <f>IF(AND(F49&gt;H49,OR(AND(OR($B49&lt;&gt;Ref!$A$7,$H$56&gt;0),OR($B49&lt;&gt;Ref!$A$8,$H$57&gt;0)),COUNT(SEARCH(Sonderarbeit,$N49))&gt;=1),ISNONTEXT(C49),C49&lt;&gt;""),F49-H49,"")</f>
        <v/>
      </c>
      <c r="J49" s="162" t="str">
        <f>IF(OR(AND(F49&lt;H49,OR(AND(OR($B49&lt;&gt;Ref!$A$7,$H$56&gt;0),OR($B49&lt;&gt;Ref!$A$8,$H$57&gt;0)),COUNT(SEARCH(Sonderarbeit,$N49))&gt;=1)),C49="Ausgleich"),H49-F49,"")</f>
        <v/>
      </c>
      <c r="K49" s="172" t="str">
        <f ca="1">IF(SUM(INDIRECT("I"&amp;ROW()-WEEKDAY(DATE(J$11,MONTH(I$11),A49),3)):I49) &lt; SUM(INDIRECT("j"&amp;ROW()-WEEKDAY(DATE(J$11,MONTH(I$11),A49),3)):J49),"-","")</f>
        <v/>
      </c>
      <c r="L49" s="173">
        <f ca="1">ABS(SUM(INDIRECT("I"&amp;ROW()-WEEKDAY(DATE(J$11,MONTH(I$11),A49),3)):I49)-SUM(INDIRECT("j"&amp;ROW()-WEEKDAY(DATE(J$11,MONTH(I$11),A49))):J49))</f>
        <v>2.083333333333337E-2</v>
      </c>
      <c r="N49" s="174"/>
    </row>
    <row r="50" spans="1:14" s="183" customFormat="1" ht="17.45" customHeight="1" thickBot="1" x14ac:dyDescent="0.4">
      <c r="A50" s="175" t="s">
        <v>45</v>
      </c>
      <c r="B50" s="176"/>
      <c r="C50" s="177"/>
      <c r="D50" s="178"/>
      <c r="E50" s="178"/>
      <c r="F50" s="178"/>
      <c r="G50" s="178"/>
      <c r="H50" s="179"/>
      <c r="I50" s="180">
        <v>0</v>
      </c>
      <c r="J50" s="180">
        <v>0</v>
      </c>
      <c r="K50" s="181"/>
      <c r="L50" s="182"/>
      <c r="M50" s="99"/>
      <c r="N50" s="100"/>
    </row>
    <row r="51" spans="1:14" x14ac:dyDescent="0.2">
      <c r="A51" s="184" t="s">
        <v>3</v>
      </c>
      <c r="B51" s="184"/>
      <c r="C51" s="184"/>
      <c r="D51" s="184"/>
      <c r="H51" s="280">
        <f>Mantelbogen!D19</f>
        <v>0.33333333333333331</v>
      </c>
      <c r="I51" s="185">
        <f>SUM(I17:I50)</f>
        <v>0.43750000000000022</v>
      </c>
      <c r="J51" s="186">
        <f>SUM(J17:J50)</f>
        <v>0</v>
      </c>
      <c r="K51" s="187" t="str">
        <f ca="1">IF(SUMIF(K19:K49,"",L19:L49)&lt;SUMIF(K19:K49,"-",L19:L49),"-","")</f>
        <v/>
      </c>
      <c r="L51" s="188">
        <f ca="1">ABS(SUMIF(K19:K49,"",L19:L49)-SUMIF(K19:K49,"-",L19:L49))</f>
        <v>0.43750000000000022</v>
      </c>
    </row>
    <row r="52" spans="1:14" ht="13.5" thickBot="1" x14ac:dyDescent="0.25">
      <c r="A52" s="189"/>
      <c r="B52" s="189"/>
      <c r="C52" s="189"/>
      <c r="D52" s="189"/>
      <c r="G52" s="190" t="s">
        <v>12</v>
      </c>
      <c r="H52" s="281">
        <f>Mantelbogen!D20</f>
        <v>0.33333333333333331</v>
      </c>
      <c r="I52" s="191"/>
      <c r="J52" s="192"/>
      <c r="K52" s="193"/>
      <c r="L52" s="194"/>
    </row>
    <row r="53" spans="1:14" x14ac:dyDescent="0.2">
      <c r="A53" s="189"/>
      <c r="B53" s="189"/>
      <c r="C53" s="189"/>
      <c r="D53" s="189"/>
      <c r="G53" s="195"/>
      <c r="H53" s="281">
        <f>Mantelbogen!D21</f>
        <v>0.33333333333333331</v>
      </c>
      <c r="I53" s="196">
        <f>IF(I51&gt;J51,I51-J51,0)</f>
        <v>0.43750000000000022</v>
      </c>
      <c r="J53" s="197" t="str">
        <f>IF(J51&gt;I51,J51-I51,"")</f>
        <v/>
      </c>
      <c r="K53" s="198"/>
      <c r="L53" s="198"/>
    </row>
    <row r="54" spans="1:14" ht="13.5" thickBot="1" x14ac:dyDescent="0.25">
      <c r="A54" s="199" t="s">
        <v>15</v>
      </c>
      <c r="B54" s="199"/>
      <c r="C54" s="199"/>
      <c r="D54" s="199"/>
      <c r="E54" s="200"/>
      <c r="F54" s="200"/>
      <c r="G54" s="190" t="s">
        <v>13</v>
      </c>
      <c r="H54" s="281">
        <f>Mantelbogen!D22</f>
        <v>0.33333333333333331</v>
      </c>
      <c r="I54" s="201"/>
      <c r="J54" s="202"/>
      <c r="K54" s="198"/>
      <c r="L54" s="198"/>
    </row>
    <row r="55" spans="1:14" ht="13.5" thickBot="1" x14ac:dyDescent="0.25">
      <c r="A55" s="203" t="s">
        <v>4</v>
      </c>
      <c r="B55" s="203"/>
      <c r="C55" s="203"/>
      <c r="D55" s="203"/>
      <c r="E55" s="200"/>
      <c r="F55" s="200"/>
      <c r="G55" s="200"/>
      <c r="H55" s="281">
        <f>Mantelbogen!D23</f>
        <v>0.3125</v>
      </c>
      <c r="I55" s="200"/>
      <c r="J55" s="200"/>
      <c r="K55" s="204"/>
      <c r="L55" s="204"/>
    </row>
    <row r="56" spans="1:14" ht="13.35" customHeight="1" x14ac:dyDescent="0.2">
      <c r="A56" s="189"/>
      <c r="B56" s="189"/>
      <c r="C56" s="189"/>
      <c r="D56" s="189"/>
      <c r="E56" s="205" t="str">
        <f>Mantelbogen!E34</f>
        <v xml:space="preserve"> </v>
      </c>
      <c r="F56" s="206"/>
      <c r="G56" s="207" t="str">
        <f>IF(E56=" ", " ", IF(Mantelbogen!D26=I11,IF(Mantelbogen!C29 &gt; 0.0001, Mantelbogen!C29+Mantelbogen!C30, 0), 0))</f>
        <v xml:space="preserve"> </v>
      </c>
      <c r="H56" s="282">
        <v>0</v>
      </c>
      <c r="I56" s="223" t="s">
        <v>144</v>
      </c>
      <c r="J56" s="224"/>
      <c r="K56" s="204"/>
      <c r="L56" s="204"/>
    </row>
    <row r="57" spans="1:14" ht="13.5" thickBot="1" x14ac:dyDescent="0.25">
      <c r="A57" s="189"/>
      <c r="B57" s="189"/>
      <c r="C57" s="189"/>
      <c r="D57" s="189"/>
      <c r="E57" s="205" t="str">
        <f>Mantelbogen!E35</f>
        <v xml:space="preserve"> </v>
      </c>
      <c r="F57" s="207"/>
      <c r="G57" s="207" t="str">
        <f>IF(E56=" ", " ", -COUNTIF(C19:C49, "Urlaub*" ))</f>
        <v xml:space="preserve"> </v>
      </c>
      <c r="H57" s="283">
        <v>0</v>
      </c>
      <c r="I57" s="225"/>
      <c r="J57" s="226"/>
      <c r="K57" s="204"/>
      <c r="L57" s="208"/>
      <c r="M57" s="209"/>
    </row>
    <row r="58" spans="1:14" ht="21.95" customHeight="1" thickBot="1" x14ac:dyDescent="0.25">
      <c r="A58" s="199" t="s">
        <v>10</v>
      </c>
      <c r="B58" s="199"/>
      <c r="C58" s="199"/>
      <c r="D58" s="199"/>
      <c r="E58" s="205" t="str">
        <f>Mantelbogen!E37</f>
        <v xml:space="preserve"> </v>
      </c>
      <c r="F58" s="210"/>
      <c r="G58" s="211" t="str">
        <f>IF(E56=" ", " ", IF(Mantelbogen!C29 &gt; 0.0001, G56+G57, 0))</f>
        <v xml:space="preserve"> </v>
      </c>
      <c r="H58" s="287">
        <f>SUM(H51:H57)</f>
        <v>1.6458333333333333</v>
      </c>
      <c r="I58" s="227"/>
      <c r="J58" s="228"/>
      <c r="L58" s="212" t="str">
        <f>Mantelbogen!D50</f>
        <v>15.12.2025  HAdW / G. Wolff</v>
      </c>
      <c r="M58" s="209"/>
    </row>
    <row r="59" spans="1:14" x14ac:dyDescent="0.2">
      <c r="F59" s="213"/>
    </row>
    <row r="60" spans="1:14" x14ac:dyDescent="0.2">
      <c r="G60" s="214"/>
      <c r="H60" s="214"/>
      <c r="I60" s="214"/>
      <c r="J60" s="207"/>
    </row>
  </sheetData>
  <sheetProtection algorithmName="SHA-512" hashValue="/iumnDY0ASYKX4J5Sz7DsM2GFUBiS1LRyBwJfdWJRG4B6ZQuwb1eazeePGTlEdwYNYPcbX/EexpsxySJvHXETg==" saltValue="/D3JLKutl03CZ978HLrRkw==" spinCount="100000" sheet="1" objects="1" scenarios="1"/>
  <mergeCells count="64">
    <mergeCell ref="A4:F6"/>
    <mergeCell ref="A3:F3"/>
    <mergeCell ref="A1:F2"/>
    <mergeCell ref="G1:J7"/>
    <mergeCell ref="H15:H18"/>
    <mergeCell ref="C15:C18"/>
    <mergeCell ref="D15:D18"/>
    <mergeCell ref="E15:E18"/>
    <mergeCell ref="F15:G18"/>
    <mergeCell ref="I15:J15"/>
    <mergeCell ref="I17:I18"/>
    <mergeCell ref="J17:J18"/>
    <mergeCell ref="A11:B11"/>
    <mergeCell ref="A13:B13"/>
    <mergeCell ref="A15:A18"/>
    <mergeCell ref="B15:B18"/>
    <mergeCell ref="F19:G19"/>
    <mergeCell ref="F20:G20"/>
    <mergeCell ref="F22:G22"/>
    <mergeCell ref="F23:G23"/>
    <mergeCell ref="F21:G21"/>
    <mergeCell ref="F26:G26"/>
    <mergeCell ref="F24:G24"/>
    <mergeCell ref="F25:G25"/>
    <mergeCell ref="F37:G37"/>
    <mergeCell ref="F38:G38"/>
    <mergeCell ref="F27:G27"/>
    <mergeCell ref="F31:G31"/>
    <mergeCell ref="F28:G28"/>
    <mergeCell ref="F29:G29"/>
    <mergeCell ref="F30:G30"/>
    <mergeCell ref="F39:G39"/>
    <mergeCell ref="F32:G32"/>
    <mergeCell ref="F33:G33"/>
    <mergeCell ref="F34:G34"/>
    <mergeCell ref="F35:G35"/>
    <mergeCell ref="F36:G36"/>
    <mergeCell ref="F44:G44"/>
    <mergeCell ref="F45:G45"/>
    <mergeCell ref="F46:G46"/>
    <mergeCell ref="F47:G47"/>
    <mergeCell ref="F40:G40"/>
    <mergeCell ref="F41:G41"/>
    <mergeCell ref="F42:G42"/>
    <mergeCell ref="F43:G43"/>
    <mergeCell ref="J53:J54"/>
    <mergeCell ref="I53:I54"/>
    <mergeCell ref="F48:G48"/>
    <mergeCell ref="F49:G49"/>
    <mergeCell ref="A51:D51"/>
    <mergeCell ref="I51:I52"/>
    <mergeCell ref="J51:J52"/>
    <mergeCell ref="A52:D53"/>
    <mergeCell ref="A54:D54"/>
    <mergeCell ref="G60:I60"/>
    <mergeCell ref="A55:D55"/>
    <mergeCell ref="A56:D57"/>
    <mergeCell ref="I56:J58"/>
    <mergeCell ref="A58:D58"/>
    <mergeCell ref="M15:M16"/>
    <mergeCell ref="K15:L16"/>
    <mergeCell ref="K17:L18"/>
    <mergeCell ref="K51:K52"/>
    <mergeCell ref="L51:L52"/>
  </mergeCells>
  <phoneticPr fontId="0" type="noConversion"/>
  <conditionalFormatting sqref="A19:A49 C19:L49">
    <cfRule type="expression" dxfId="216" priority="1">
      <formula>COUNT(SEARCH(Sonderarbeit,$N19))&gt;=1</formula>
    </cfRule>
  </conditionalFormatting>
  <conditionalFormatting sqref="A19:L49">
    <cfRule type="expression" dxfId="215" priority="9">
      <formula>AND(ISTEXT($C19),$C19&lt;&gt;"Kinderkrankentag",$C19&lt;&gt;"Urlaub",$C19&lt;&gt;"Krank",$C19&lt;&gt;"Ausgleich")</formula>
    </cfRule>
  </conditionalFormatting>
  <conditionalFormatting sqref="C19:C49">
    <cfRule type="expression" dxfId="213" priority="11">
      <formula>ISTEXT($C19)</formula>
    </cfRule>
  </conditionalFormatting>
  <conditionalFormatting sqref="D19:H49">
    <cfRule type="expression" dxfId="209" priority="6">
      <formula>AND(ISTEXT($C19),OR($C19="Kinderkrankentag",$C19="Urlaub",$C19="Krank",$C19="Ausgleich"))</formula>
    </cfRule>
  </conditionalFormatting>
  <conditionalFormatting sqref="D19:J49">
    <cfRule type="expression" dxfId="208" priority="4">
      <formula>AND(ISTEXT($C19),$C19&lt;&gt;"Kinderkrankentag",$C19&lt;&gt;"Urlaub",$C19&lt;&gt;"Krank",$C19&lt;&gt;"Ausgleich")</formula>
    </cfRule>
  </conditionalFormatting>
  <conditionalFormatting sqref="F19:F49">
    <cfRule type="expression" dxfId="206" priority="20">
      <formula>AND(ISNONTEXT($C19),$F19 &gt; 0.666667)</formula>
    </cfRule>
  </conditionalFormatting>
  <dataValidations count="1">
    <dataValidation type="custom" errorStyle="warning" allowBlank="1" showErrorMessage="1" errorTitle="Samstagsarbeit" error="Tragen Sie hier bitte nur etwas ein, wenn Sie tatsächlich REGELMÄßIG und angeordnet Samstag arbeiten. Ansonsten tragen Sie bitte am entsprechenden Tag in Spalte N „Samstagsarbeit“ ein und der entsprechende Tag wird verfügbar." promptTitle="Samstagsarbeit" prompt="Tragen Sie hier bitte nur etwas ein, wenn Sie tatsächlich REGELMÄßIG und angeordnet Samstag arbeiten. Ansonsten tragen Sie bitte am entsprechenden Tag in Spalte N „Samstagsarbeit“ ein und der entsprechende Tag wird verfügbar." sqref="H56" xr:uid="{DC07BA9C-C7D7-44B8-B73F-23A15A8F1C20}">
      <formula1>$A$4="Arbeitszeitblatt"</formula1>
    </dataValidation>
  </dataValidations>
  <printOptions horizontalCentered="1" verticalCentered="1"/>
  <pageMargins left="1.0236220472440944" right="0.10616666666666667" top="0.23622047244094491" bottom="0.19685039370078741" header="0.15748031496062992" footer="0.15748031496062992"/>
  <pageSetup paperSize="9" scale="81" orientation="portrait" horizontalDpi="1200" verticalDpi="1200"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0" id="{00000000-000E-0000-0100-000001000000}">
            <xm:f>OR(AND($B19=Ref!$A$7,$H$56=0), AND($B19=Ref!$A$8,$H$57=0), NOT( ISERROR(FIND("feiertag",LOWER($C19)) ) ) )</xm:f>
            <x14:dxf>
              <fill>
                <patternFill patternType="solid">
                  <bgColor theme="4" tint="0.79998168889431442"/>
                </patternFill>
              </fill>
            </x14:dxf>
          </x14:cfRule>
          <xm:sqref>A19:L49</xm:sqref>
        </x14:conditionalFormatting>
        <x14:conditionalFormatting xmlns:xm="http://schemas.microsoft.com/office/excel/2006/main">
          <x14:cfRule type="expression" priority="18" id="{00000000-000E-0000-0100-000004000000}">
            <xm:f>AND($B19=Ref!$A$7, $H$56&gt;0.00001)</xm:f>
            <x14:dxf>
              <font>
                <b val="0"/>
                <i val="0"/>
                <color theme="1"/>
              </font>
              <fill>
                <patternFill patternType="none">
                  <bgColor auto="1"/>
                </patternFill>
              </fill>
            </x14:dxf>
          </x14:cfRule>
          <x14:cfRule type="expression" priority="19" id="{00000000-000E-0000-0100-00000A000000}">
            <xm:f>AND($B19=Ref!$A$8, $H$57&gt;0.00001)</xm:f>
            <x14:dxf>
              <font>
                <b val="0"/>
                <i val="0"/>
              </font>
              <fill>
                <patternFill patternType="none">
                  <bgColor auto="1"/>
                </patternFill>
              </fill>
            </x14:dxf>
          </x14:cfRule>
          <xm:sqref>C19:I49</xm:sqref>
        </x14:conditionalFormatting>
        <x14:conditionalFormatting xmlns:xm="http://schemas.microsoft.com/office/excel/2006/main">
          <x14:cfRule type="expression" priority="12" id="{00000000-000E-0000-0100-000003000000}">
            <xm:f>OR(AND($B19=Ref!$A$7, $H$56&lt;0.00001),AND($B19=Ref!$A$8, $H$57&lt;0.00001))</xm:f>
            <x14:dxf>
              <font>
                <color theme="4" tint="0.79998168889431442"/>
              </font>
              <fill>
                <patternFill>
                  <bgColor theme="4" tint="0.79998168889431442"/>
                </patternFill>
              </fill>
            </x14:dxf>
          </x14:cfRule>
          <xm:sqref>C19:J49</xm:sqref>
        </x14:conditionalFormatting>
        <x14:conditionalFormatting xmlns:xm="http://schemas.microsoft.com/office/excel/2006/main">
          <x14:cfRule type="expression" priority="3" id="{00000000-000E-0000-0100-00000E000000}">
            <xm:f>AND(OR(AND($F19 &gt; 0.250001, $E19 &lt; 0.020833332), AND($F19 &gt; 0.375, $E19 &lt; 0.03124999)  ),OR(AND($B19&lt;&gt;Ref!$A$7, $B19&lt;&gt;Ref!$A$8),COUNT(SEARCH(Sonderarbeit,$N19))&gt;=1),ISNUMBER($C19))</xm:f>
            <x14:dxf>
              <fill>
                <patternFill>
                  <bgColor rgb="FFFF0000"/>
                </patternFill>
              </fill>
            </x14:dxf>
          </x14:cfRule>
          <xm:sqref>E19:E49</xm:sqref>
        </x14:conditionalFormatting>
      </x14:conditionalFormattings>
    </ext>
    <ext xmlns:x14="http://schemas.microsoft.com/office/spreadsheetml/2009/9/main" uri="{CCE6A557-97BC-4b89-ADB6-D9C93CAAB3DF}">
      <x14:dataValidations xmlns:xm="http://schemas.microsoft.com/office/excel/2006/main" count="1">
        <x14:dataValidation type="custom" errorStyle="information" allowBlank="1" showInputMessage="1" showErrorMessage="1" errorTitle="Samstagsarbeit" error="Tragen Sie hier bitte nur die tasächlich angefallene Arbeit ein. Tragen Sie ggf. anfallende Zuschläge auf ein separates Tabellenblatt ein und übertragen diese in das Kästchen I50." xr:uid="{09A7F06A-4FE2-4E21-903B-C3D04056B3BB}">
          <x14:formula1>
            <xm:f>NOT(OFFSET(C19,0,2-COLUMN(C19))=Ref!$A$7)</xm:f>
          </x14:formula1>
          <xm:sqref>C19:E49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N59"/>
  <sheetViews>
    <sheetView zoomScaleNormal="100" workbookViewId="0">
      <selection sqref="A1:F2"/>
    </sheetView>
  </sheetViews>
  <sheetFormatPr defaultColWidth="11.5703125" defaultRowHeight="12.75" x14ac:dyDescent="0.2"/>
  <cols>
    <col min="1" max="1" width="5.5703125" style="125" customWidth="1"/>
    <col min="2" max="2" width="9.85546875" style="102" bestFit="1" customWidth="1"/>
    <col min="3" max="3" width="15.7109375" style="102" bestFit="1" customWidth="1"/>
    <col min="4" max="4" width="13.7109375" style="102" bestFit="1" customWidth="1"/>
    <col min="5" max="5" width="8.5703125" style="98" customWidth="1"/>
    <col min="6" max="6" width="8.140625" style="98" customWidth="1"/>
    <col min="7" max="7" width="3.85546875" style="98" customWidth="1"/>
    <col min="8" max="8" width="14.140625" style="98" bestFit="1" customWidth="1"/>
    <col min="9" max="9" width="11" style="98" bestFit="1" customWidth="1"/>
    <col min="10" max="10" width="12.140625" style="98" bestFit="1" customWidth="1"/>
    <col min="11" max="11" width="2.85546875" style="98" customWidth="1"/>
    <col min="12" max="12" width="8.85546875" style="98" customWidth="1"/>
    <col min="13" max="13" width="16.42578125" style="99" customWidth="1"/>
    <col min="14" max="14" width="18.140625" style="99" customWidth="1"/>
    <col min="15" max="16384" width="11.5703125" style="98"/>
  </cols>
  <sheetData>
    <row r="1" spans="1:14" ht="15" customHeight="1" x14ac:dyDescent="0.2">
      <c r="A1" s="215" t="s">
        <v>46</v>
      </c>
      <c r="B1" s="215"/>
      <c r="C1" s="215"/>
      <c r="D1" s="215"/>
      <c r="E1" s="215"/>
      <c r="F1" s="215"/>
      <c r="G1" s="97" t="s">
        <v>9</v>
      </c>
      <c r="H1" s="97"/>
      <c r="I1" s="97"/>
      <c r="J1" s="97"/>
    </row>
    <row r="2" spans="1:14" ht="15" customHeight="1" x14ac:dyDescent="0.2">
      <c r="A2" s="215"/>
      <c r="B2" s="215"/>
      <c r="C2" s="215"/>
      <c r="D2" s="215"/>
      <c r="E2" s="215"/>
      <c r="F2" s="215"/>
      <c r="G2" s="97"/>
      <c r="H2" s="97"/>
      <c r="I2" s="97"/>
      <c r="J2" s="97"/>
    </row>
    <row r="3" spans="1:14" x14ac:dyDescent="0.2">
      <c r="A3" s="216" t="s">
        <v>11</v>
      </c>
      <c r="B3" s="216"/>
      <c r="C3" s="216"/>
      <c r="D3" s="216"/>
      <c r="E3" s="216"/>
      <c r="F3" s="216"/>
      <c r="G3" s="97"/>
      <c r="H3" s="97"/>
      <c r="I3" s="97"/>
      <c r="J3" s="97"/>
    </row>
    <row r="4" spans="1:14" ht="13.35" customHeight="1" x14ac:dyDescent="0.2">
      <c r="A4" s="217" t="s">
        <v>47</v>
      </c>
      <c r="B4" s="217"/>
      <c r="C4" s="217"/>
      <c r="D4" s="217"/>
      <c r="E4" s="217"/>
      <c r="F4" s="217"/>
      <c r="G4" s="97"/>
      <c r="H4" s="97"/>
      <c r="I4" s="97"/>
      <c r="J4" s="97"/>
    </row>
    <row r="5" spans="1:14" ht="6" customHeight="1" x14ac:dyDescent="0.2">
      <c r="A5" s="295"/>
      <c r="B5" s="295"/>
      <c r="C5" s="295"/>
      <c r="D5" s="295"/>
      <c r="E5" s="295"/>
      <c r="F5" s="295"/>
      <c r="G5" s="97"/>
      <c r="H5" s="97"/>
      <c r="I5" s="97"/>
      <c r="J5" s="97"/>
    </row>
    <row r="6" spans="1:14" ht="13.35" customHeight="1" x14ac:dyDescent="0.2">
      <c r="A6" s="295"/>
      <c r="B6" s="295"/>
      <c r="C6" s="295"/>
      <c r="D6" s="295"/>
      <c r="E6" s="295"/>
      <c r="F6" s="295"/>
      <c r="G6" s="97"/>
      <c r="H6" s="97"/>
      <c r="I6" s="97"/>
      <c r="J6" s="97"/>
    </row>
    <row r="7" spans="1:14" ht="13.35" customHeight="1" x14ac:dyDescent="0.2">
      <c r="A7" s="101"/>
      <c r="B7" s="101"/>
      <c r="C7" s="101"/>
      <c r="D7" s="101"/>
      <c r="E7" s="101"/>
      <c r="F7" s="101"/>
      <c r="G7" s="97"/>
      <c r="H7" s="97"/>
      <c r="I7" s="97"/>
      <c r="J7" s="97"/>
    </row>
    <row r="8" spans="1:14" ht="6" customHeight="1" thickBot="1" x14ac:dyDescent="0.25">
      <c r="A8" s="103"/>
      <c r="B8" s="104"/>
      <c r="C8" s="104"/>
      <c r="D8" s="104"/>
      <c r="E8" s="105"/>
      <c r="F8" s="105"/>
      <c r="G8" s="105"/>
      <c r="H8" s="111"/>
      <c r="I8" s="106"/>
      <c r="J8" s="106"/>
      <c r="K8" s="107"/>
      <c r="L8" s="108"/>
    </row>
    <row r="9" spans="1:14" ht="6" customHeight="1" x14ac:dyDescent="0.2">
      <c r="A9" s="109"/>
      <c r="B9" s="110"/>
      <c r="C9" s="110"/>
      <c r="D9" s="110"/>
      <c r="E9" s="111"/>
      <c r="F9" s="111"/>
      <c r="G9" s="111"/>
      <c r="H9" s="230"/>
      <c r="I9" s="112"/>
      <c r="J9" s="112"/>
      <c r="K9" s="113"/>
      <c r="L9" s="114"/>
    </row>
    <row r="10" spans="1:14" x14ac:dyDescent="0.2">
      <c r="A10" s="109"/>
      <c r="B10" s="110"/>
      <c r="C10" s="110"/>
      <c r="D10" s="110"/>
      <c r="E10" s="111"/>
      <c r="F10" s="111"/>
      <c r="G10" s="111"/>
      <c r="I10" s="112"/>
      <c r="J10" s="112"/>
      <c r="K10" s="113"/>
      <c r="L10" s="114"/>
    </row>
    <row r="11" spans="1:14" x14ac:dyDescent="0.2">
      <c r="A11" s="115" t="s">
        <v>6</v>
      </c>
      <c r="B11" s="115"/>
      <c r="C11" s="122" t="str">
        <f>Jan!C11</f>
        <v>ATHENE, Pallas</v>
      </c>
      <c r="D11" s="117"/>
      <c r="E11" s="118"/>
      <c r="F11" s="119"/>
      <c r="G11" s="119" t="s">
        <v>8</v>
      </c>
      <c r="H11" s="120"/>
      <c r="I11" s="121">
        <f>DATE(J11,2,1)</f>
        <v>46054</v>
      </c>
      <c r="J11" s="122">
        <f>Jan!J11</f>
        <v>2026</v>
      </c>
      <c r="K11" s="123"/>
      <c r="L11" s="124"/>
    </row>
    <row r="12" spans="1:14" x14ac:dyDescent="0.2">
      <c r="B12" s="114"/>
      <c r="C12" s="126"/>
      <c r="D12" s="127"/>
      <c r="E12" s="119"/>
      <c r="F12" s="119"/>
      <c r="G12" s="111"/>
      <c r="I12" s="112"/>
      <c r="J12" s="112"/>
      <c r="K12" s="113"/>
      <c r="L12" s="114"/>
    </row>
    <row r="13" spans="1:14" x14ac:dyDescent="0.2">
      <c r="A13" s="115" t="s">
        <v>7</v>
      </c>
      <c r="B13" s="115"/>
      <c r="C13" s="122" t="str">
        <f>Jan!C13</f>
        <v>Geschäftsstelle</v>
      </c>
      <c r="D13" s="130"/>
      <c r="E13" s="118"/>
      <c r="F13" s="131"/>
      <c r="G13" s="131"/>
      <c r="H13" s="120"/>
      <c r="I13" s="117"/>
      <c r="J13" s="118"/>
      <c r="K13" s="123"/>
      <c r="L13" s="124"/>
    </row>
    <row r="14" spans="1:14" ht="13.35" customHeight="1" thickBot="1" x14ac:dyDescent="0.25">
      <c r="K14" s="113"/>
      <c r="L14" s="114"/>
    </row>
    <row r="15" spans="1:14" ht="13.35" customHeight="1" x14ac:dyDescent="0.2">
      <c r="A15" s="231"/>
      <c r="B15" s="231" t="s">
        <v>14</v>
      </c>
      <c r="C15" s="231" t="s">
        <v>110</v>
      </c>
      <c r="D15" s="231" t="s">
        <v>145</v>
      </c>
      <c r="E15" s="231" t="s">
        <v>16</v>
      </c>
      <c r="F15" s="232" t="s">
        <v>143</v>
      </c>
      <c r="G15" s="233"/>
      <c r="H15" s="234" t="s">
        <v>43</v>
      </c>
      <c r="I15" s="235" t="s">
        <v>0</v>
      </c>
      <c r="J15" s="236"/>
      <c r="K15" s="137" t="s">
        <v>41</v>
      </c>
      <c r="L15" s="138"/>
    </row>
    <row r="16" spans="1:14" ht="13.7" customHeight="1" thickBot="1" x14ac:dyDescent="0.3">
      <c r="A16" s="237"/>
      <c r="B16" s="237"/>
      <c r="C16" s="237"/>
      <c r="D16" s="237"/>
      <c r="E16" s="237"/>
      <c r="F16" s="238"/>
      <c r="G16" s="239"/>
      <c r="H16" s="240"/>
      <c r="I16" s="143" t="s">
        <v>1</v>
      </c>
      <c r="J16" s="143" t="s">
        <v>2</v>
      </c>
      <c r="K16" s="144"/>
      <c r="L16" s="145"/>
      <c r="N16" s="241" t="str">
        <f>IF($I$17/$H$55 &gt; 1, CONCATENATE("Noch ",TEXT(($I$17-$H$55)*24,"#,0")), "" )</f>
        <v/>
      </c>
    </row>
    <row r="17" spans="1:14" ht="12.95" customHeight="1" x14ac:dyDescent="0.2">
      <c r="A17" s="237"/>
      <c r="B17" s="237"/>
      <c r="C17" s="237"/>
      <c r="D17" s="237"/>
      <c r="E17" s="237"/>
      <c r="F17" s="238"/>
      <c r="G17" s="239"/>
      <c r="H17" s="240"/>
      <c r="I17" s="242">
        <f>IF(Mantelbogen!D26=I11,Mantelbogen!C28,Jan!I53)</f>
        <v>0.43750000000000022</v>
      </c>
      <c r="J17" s="243" t="str">
        <f>IF(Mantelbogen!D26=I11,Mantelbogen!D28,Jan!J53)</f>
        <v/>
      </c>
      <c r="K17" s="149" t="str">
        <f>IF(I17/H55 &gt; 1, I17/H55, " " )</f>
        <v xml:space="preserve"> </v>
      </c>
      <c r="L17" s="244"/>
      <c r="N17" s="245" t="str">
        <f>IF($I$17/$H$55 &gt; 1, "Überstunden", " " )</f>
        <v xml:space="preserve"> </v>
      </c>
    </row>
    <row r="18" spans="1:14" ht="13.5" customHeight="1" thickBot="1" x14ac:dyDescent="0.25">
      <c r="A18" s="246"/>
      <c r="B18" s="247"/>
      <c r="C18" s="247"/>
      <c r="D18" s="247"/>
      <c r="E18" s="247"/>
      <c r="F18" s="248"/>
      <c r="G18" s="249"/>
      <c r="H18" s="250"/>
      <c r="I18" s="251"/>
      <c r="J18" s="252"/>
      <c r="K18" s="253"/>
      <c r="L18" s="254"/>
      <c r="N18" s="245" t="str">
        <f>IF($I$17/$H$55 &gt; 1, "bis 01.04. abzubauen !", " " )</f>
        <v xml:space="preserve"> </v>
      </c>
    </row>
    <row r="19" spans="1:14" ht="17.45" customHeight="1" x14ac:dyDescent="0.35">
      <c r="A19" s="155">
        <v>1</v>
      </c>
      <c r="B19" s="156" t="str">
        <f t="shared" ref="B19:B46" si="0">TEXT(DATE(J$11,MONTH(I$11),A19),Textcode)</f>
        <v>Sonntag</v>
      </c>
      <c r="C19" s="157">
        <v>0.35416666666666669</v>
      </c>
      <c r="D19" s="157">
        <v>0.70833333333333337</v>
      </c>
      <c r="E19" s="157">
        <v>2.0833333333333332E-2</v>
      </c>
      <c r="F19" s="158">
        <f>IF(ISTEXT(C19),,D19-C19-E19)</f>
        <v>0.33333333333333337</v>
      </c>
      <c r="G19" s="159"/>
      <c r="H19" s="160">
        <f>IF(AND(ISTEXT(C19),ISERR(SEARCH("ausgleich",C19,1))),,INDEX(H$48:H$55,WEEKDAY(DATE(J$11,MONTH(I$11),A19),2),1,1))</f>
        <v>0</v>
      </c>
      <c r="I19" s="161" t="str" cm="1">
        <f t="array" ref="I19">IF(AND(F19&gt;H19,OR(AND(OR($B19&lt;&gt;Ref!$A$7,$H$53&gt;0),OR($B19&lt;&gt;Ref!$A$8,$H$54&gt;0)),COUNT(SEARCH(Sonderarbeit,$N19))&gt;=1),ISNONTEXT(C19),C19&lt;&gt;""),F19-H19,"")</f>
        <v/>
      </c>
      <c r="J19" s="162" t="str" cm="1">
        <f t="array" ref="J19">IF(OR(AND(F19&lt;H19,OR(AND(OR($B19&lt;&gt;Ref!$A$7,$H$53&gt;0),OR($B19&lt;&gt;Ref!$A$8,$H$54&gt;0)),COUNT(SEARCH(Sonderarbeit,$N19))&gt;=1)),C19="Ausgleich"),H19-F19,"")</f>
        <v/>
      </c>
      <c r="K19" s="163" t="str">
        <f>IF(AND(B19=Ref!$A$8,SUM(I19:I19)&lt;SUM(J19:J19)),"-","")</f>
        <v/>
      </c>
      <c r="L19" s="164">
        <f>IF(B19=Ref!$A$8,ABS(SUM(I19:I19)-SUM(J19:J19)),"")</f>
        <v>0</v>
      </c>
    </row>
    <row r="20" spans="1:14" ht="17.45" customHeight="1" x14ac:dyDescent="0.35">
      <c r="A20" s="155">
        <v>2</v>
      </c>
      <c r="B20" s="156" t="str">
        <f t="shared" si="0"/>
        <v>Montag</v>
      </c>
      <c r="C20" s="157">
        <v>0.35416666666666669</v>
      </c>
      <c r="D20" s="157">
        <v>0.70833333333333337</v>
      </c>
      <c r="E20" s="157">
        <v>2.0833333333333332E-2</v>
      </c>
      <c r="F20" s="158">
        <f t="shared" ref="F20:F46" si="1">IF(ISTEXT(C20),,D20-C20-E20)</f>
        <v>0.33333333333333337</v>
      </c>
      <c r="G20" s="159"/>
      <c r="H20" s="160">
        <f t="shared" ref="H20:H46" si="2">IF(AND(ISTEXT(C20),ISERR(SEARCH("ausgleich",C20,1))),,INDEX(H$48:H$55,WEEKDAY(DATE(J$11,MONTH(I$11),A20),2),1,1))</f>
        <v>0.33333333333333331</v>
      </c>
      <c r="I20" s="161" t="str" cm="1">
        <f t="array" ref="I20">IF(AND(F20&gt;H20,OR(AND(OR($B20&lt;&gt;Ref!$A$7,$H$53&gt;0),OR($B20&lt;&gt;Ref!$A$8,$H$54&gt;0)),COUNT(SEARCH(Sonderarbeit,$N20))&gt;=1),ISNONTEXT(C20),C20&lt;&gt;""),F20-H20,"")</f>
        <v/>
      </c>
      <c r="J20" s="162" t="str" cm="1">
        <f t="array" ref="J20">IF(OR(AND(F20&lt;H20,OR(AND(OR($B20&lt;&gt;Ref!$A$7,$H$53&gt;0),OR($B20&lt;&gt;Ref!$A$8,$H$54&gt;0)),COUNT(SEARCH(Sonderarbeit,$N20))&gt;=1)),C20="Ausgleich"),H20-F20,"")</f>
        <v/>
      </c>
      <c r="K20" s="163" t="str">
        <f>IF(AND(B20=Ref!$A$8,SUM(I19:I20)&lt;SUM(J19:J20)),"-","")</f>
        <v/>
      </c>
      <c r="L20" s="167" t="str">
        <f>IF(B20=Ref!$A$8,ABS(SUM(I19:I20)-SUM(J19:J20)),"")</f>
        <v/>
      </c>
    </row>
    <row r="21" spans="1:14" ht="17.45" customHeight="1" x14ac:dyDescent="0.35">
      <c r="A21" s="155">
        <v>3</v>
      </c>
      <c r="B21" s="156" t="str">
        <f t="shared" si="0"/>
        <v>Dienstag</v>
      </c>
      <c r="C21" s="157">
        <v>0.35416666666666669</v>
      </c>
      <c r="D21" s="157">
        <v>0.70833333333333337</v>
      </c>
      <c r="E21" s="157">
        <v>2.0833333333333332E-2</v>
      </c>
      <c r="F21" s="158">
        <f t="shared" si="1"/>
        <v>0.33333333333333337</v>
      </c>
      <c r="G21" s="159"/>
      <c r="H21" s="160">
        <f t="shared" si="2"/>
        <v>0.33333333333333331</v>
      </c>
      <c r="I21" s="161" t="str" cm="1">
        <f t="array" ref="I21">IF(AND(F21&gt;H21,OR(AND(OR($B21&lt;&gt;Ref!$A$7,$H$53&gt;0),OR($B21&lt;&gt;Ref!$A$8,$H$54&gt;0)),COUNT(SEARCH(Sonderarbeit,$N21))&gt;=1),ISNONTEXT(C21),C21&lt;&gt;""),F21-H21,"")</f>
        <v/>
      </c>
      <c r="J21" s="162" t="str" cm="1">
        <f t="array" ref="J21">IF(OR(AND(F21&lt;H21,OR(AND(OR($B21&lt;&gt;Ref!$A$7,$H$53&gt;0),OR($B21&lt;&gt;Ref!$A$8,$H$54&gt;0)),COUNT(SEARCH(Sonderarbeit,$N21))&gt;=1)),C21="Ausgleich"),H21-F21,"")</f>
        <v/>
      </c>
      <c r="K21" s="163" t="str">
        <f>IF(AND(B21=Ref!$A$8,SUM(I19:I21)&lt;SUM(J19:J21)),"-","")</f>
        <v/>
      </c>
      <c r="L21" s="167" t="str">
        <f>IF(B21=Ref!$A$8,ABS(SUM(I19:I21)-SUM(J19:J21)),"")</f>
        <v/>
      </c>
    </row>
    <row r="22" spans="1:14" ht="17.45" customHeight="1" x14ac:dyDescent="0.35">
      <c r="A22" s="168">
        <v>4</v>
      </c>
      <c r="B22" s="156" t="str">
        <f t="shared" si="0"/>
        <v>Mittwoch</v>
      </c>
      <c r="C22" s="157">
        <v>0.35416666666666669</v>
      </c>
      <c r="D22" s="157">
        <v>0.70833333333333337</v>
      </c>
      <c r="E22" s="157">
        <v>2.0833333333333332E-2</v>
      </c>
      <c r="F22" s="158">
        <f t="shared" si="1"/>
        <v>0.33333333333333337</v>
      </c>
      <c r="G22" s="159"/>
      <c r="H22" s="160">
        <f t="shared" si="2"/>
        <v>0.33333333333333331</v>
      </c>
      <c r="I22" s="161" t="str" cm="1">
        <f t="array" ref="I22">IF(AND(F22&gt;H22,OR(AND(OR($B22&lt;&gt;Ref!$A$7,$H$53&gt;0),OR($B22&lt;&gt;Ref!$A$8,$H$54&gt;0)),COUNT(SEARCH(Sonderarbeit,$N22))&gt;=1),ISNONTEXT(C22),C22&lt;&gt;""),F22-H22,"")</f>
        <v/>
      </c>
      <c r="J22" s="162" t="str" cm="1">
        <f t="array" ref="J22">IF(OR(AND(F22&lt;H22,OR(AND(OR($B22&lt;&gt;Ref!$A$7,$H$53&gt;0),OR($B22&lt;&gt;Ref!$A$8,$H$54&gt;0)),COUNT(SEARCH(Sonderarbeit,$N22))&gt;=1)),C22="Ausgleich"),H22-F22,"")</f>
        <v/>
      </c>
      <c r="K22" s="163" t="str">
        <f>IF(AND(B22=Ref!$A$8,SUM(I19:I22)&lt;SUM(J19:J22)),"-","")</f>
        <v/>
      </c>
      <c r="L22" s="167" t="str">
        <f>IF(B22=Ref!$A$8,ABS(SUM(I19:I22)-SUM(J19:J22)),"")</f>
        <v/>
      </c>
    </row>
    <row r="23" spans="1:14" ht="17.45" customHeight="1" x14ac:dyDescent="0.35">
      <c r="A23" s="168">
        <v>5</v>
      </c>
      <c r="B23" s="156" t="str">
        <f t="shared" si="0"/>
        <v>Donnerstag</v>
      </c>
      <c r="C23" s="157">
        <v>0.35416666666666669</v>
      </c>
      <c r="D23" s="157">
        <v>0.70833333333333337</v>
      </c>
      <c r="E23" s="157">
        <v>2.0833333333333332E-2</v>
      </c>
      <c r="F23" s="158">
        <f t="shared" si="1"/>
        <v>0.33333333333333337</v>
      </c>
      <c r="G23" s="159"/>
      <c r="H23" s="160">
        <f t="shared" si="2"/>
        <v>0.33333333333333331</v>
      </c>
      <c r="I23" s="161" t="str" cm="1">
        <f t="array" ref="I23">IF(AND(F23&gt;H23,OR(AND(OR($B23&lt;&gt;Ref!$A$7,$H$53&gt;0),OR($B23&lt;&gt;Ref!$A$8,$H$54&gt;0)),COUNT(SEARCH(Sonderarbeit,$N23))&gt;=1),ISNONTEXT(C23),C23&lt;&gt;""),F23-H23,"")</f>
        <v/>
      </c>
      <c r="J23" s="162" t="str" cm="1">
        <f t="array" ref="J23">IF(OR(AND(F23&lt;H23,OR(AND(OR($B23&lt;&gt;Ref!$A$7,$H$53&gt;0),OR($B23&lt;&gt;Ref!$A$8,$H$54&gt;0)),COUNT(SEARCH(Sonderarbeit,$N23))&gt;=1)),C23="Ausgleich"),H23-F23,"")</f>
        <v/>
      </c>
      <c r="K23" s="163" t="str">
        <f>IF(AND(B23=Ref!$A$8,SUM(I19:I23)&lt;SUM(J19:J23)),"-","")</f>
        <v/>
      </c>
      <c r="L23" s="167" t="str">
        <f>IF(B23=Ref!$A$8,ABS(SUM(I19:I23)-SUM(J19:J23)),"")</f>
        <v/>
      </c>
    </row>
    <row r="24" spans="1:14" ht="17.45" customHeight="1" x14ac:dyDescent="0.35">
      <c r="A24" s="155">
        <v>6</v>
      </c>
      <c r="B24" s="156" t="str">
        <f t="shared" si="0"/>
        <v>Freitag</v>
      </c>
      <c r="C24" s="157">
        <v>0.35416666666666669</v>
      </c>
      <c r="D24" s="157">
        <v>0.70833333333333337</v>
      </c>
      <c r="E24" s="157">
        <v>2.0833333333333332E-2</v>
      </c>
      <c r="F24" s="158">
        <f t="shared" si="1"/>
        <v>0.33333333333333337</v>
      </c>
      <c r="G24" s="159"/>
      <c r="H24" s="160">
        <f t="shared" si="2"/>
        <v>0.3125</v>
      </c>
      <c r="I24" s="161" cm="1">
        <f t="array" ref="I24">IF(AND(F24&gt;H24,OR(AND(OR($B24&lt;&gt;Ref!$A$7,$H$53&gt;0),OR($B24&lt;&gt;Ref!$A$8,$H$54&gt;0)),COUNT(SEARCH(Sonderarbeit,$N24))&gt;=1),ISNONTEXT(C24),C24&lt;&gt;""),F24-H24,"")</f>
        <v>2.083333333333337E-2</v>
      </c>
      <c r="J24" s="162" t="str" cm="1">
        <f t="array" ref="J24">IF(OR(AND(F24&lt;H24,OR(AND(OR($B24&lt;&gt;Ref!$A$7,$H$53&gt;0),OR($B24&lt;&gt;Ref!$A$8,$H$54&gt;0)),COUNT(SEARCH(Sonderarbeit,$N24))&gt;=1)),C24="Ausgleich"),H24-F24,"")</f>
        <v/>
      </c>
      <c r="K24" s="163" t="str">
        <f>IF(AND(B24=Ref!$A$8,SUM(I19:I24)&lt;SUM(J19:J24)),"-","")</f>
        <v/>
      </c>
      <c r="L24" s="167" t="str">
        <f>IF(B24=Ref!$A$8,ABS(SUM(I19:I24)-SUM(J19:J24)),"")</f>
        <v/>
      </c>
    </row>
    <row r="25" spans="1:14" ht="17.45" customHeight="1" x14ac:dyDescent="0.35">
      <c r="A25" s="168">
        <v>7</v>
      </c>
      <c r="B25" s="156" t="str">
        <f t="shared" si="0"/>
        <v>Samstag</v>
      </c>
      <c r="C25" s="157">
        <v>0.35416666666666669</v>
      </c>
      <c r="D25" s="157">
        <v>0.70833333333333337</v>
      </c>
      <c r="E25" s="157">
        <v>2.0833333333333332E-2</v>
      </c>
      <c r="F25" s="158">
        <f t="shared" si="1"/>
        <v>0.33333333333333337</v>
      </c>
      <c r="G25" s="159"/>
      <c r="H25" s="160">
        <f t="shared" si="2"/>
        <v>0</v>
      </c>
      <c r="I25" s="161" t="str" cm="1">
        <f t="array" ref="I25">IF(AND(F25&gt;H25,OR(AND(OR($B25&lt;&gt;Ref!$A$7,$H$53&gt;0),OR($B25&lt;&gt;Ref!$A$8,$H$54&gt;0)),COUNT(SEARCH(Sonderarbeit,$N25))&gt;=1),ISNONTEXT(C25),C25&lt;&gt;""),F25-H25,"")</f>
        <v/>
      </c>
      <c r="J25" s="162" t="str" cm="1">
        <f t="array" ref="J25">IF(OR(AND(F25&lt;H25,OR(AND(OR($B25&lt;&gt;Ref!$A$7,$H$53&gt;0),OR($B25&lt;&gt;Ref!$A$8,$H$54&gt;0)),COUNT(SEARCH(Sonderarbeit,$N25))&gt;=1)),C25="Ausgleich"),H25-F25,"")</f>
        <v/>
      </c>
      <c r="K25" s="163" t="str">
        <f>IF(AND(B25=Ref!$A$8,SUM(I19:I25)&lt;SUM(J19:J25)),"-","")</f>
        <v/>
      </c>
      <c r="L25" s="167" t="str">
        <f>IF(B25=Ref!$A$8,ABS(SUM(I19:I25)-SUM(J19:J25)),"")</f>
        <v/>
      </c>
    </row>
    <row r="26" spans="1:14" ht="17.45" customHeight="1" x14ac:dyDescent="0.35">
      <c r="A26" s="168">
        <v>8</v>
      </c>
      <c r="B26" s="156" t="str">
        <f t="shared" si="0"/>
        <v>Sonntag</v>
      </c>
      <c r="C26" s="157">
        <v>0.35416666666666669</v>
      </c>
      <c r="D26" s="157">
        <v>0.70833333333333337</v>
      </c>
      <c r="E26" s="157">
        <v>2.0833333333333332E-2</v>
      </c>
      <c r="F26" s="158">
        <f t="shared" si="1"/>
        <v>0.33333333333333337</v>
      </c>
      <c r="G26" s="159"/>
      <c r="H26" s="160">
        <f t="shared" si="2"/>
        <v>0</v>
      </c>
      <c r="I26" s="161" t="str" cm="1">
        <f t="array" ref="I26">IF(AND(F26&gt;H26,OR(AND(OR($B26&lt;&gt;Ref!$A$7,$H$53&gt;0),OR($B26&lt;&gt;Ref!$A$8,$H$54&gt;0)),COUNT(SEARCH(Sonderarbeit,$N26))&gt;=1),ISNONTEXT(C26),C26&lt;&gt;""),F26-H26,"")</f>
        <v/>
      </c>
      <c r="J26" s="162" t="str" cm="1">
        <f t="array" ref="J26">IF(OR(AND(F26&lt;H26,OR(AND(OR($B26&lt;&gt;Ref!$A$7,$H$53&gt;0),OR($B26&lt;&gt;Ref!$A$8,$H$54&gt;0)),COUNT(SEARCH(Sonderarbeit,$N26))&gt;=1)),C26="Ausgleich"),H26-F26,"")</f>
        <v/>
      </c>
      <c r="K26" s="163" t="str">
        <f>IF(AND(B26=Ref!$A$8,SUM(I20:I26)&lt;SUM(J20:J26)),"-","")</f>
        <v/>
      </c>
      <c r="L26" s="167">
        <f>IF(B26=Ref!$A$8,ABS(SUM(I20:I26)-SUM(J20:J26)),"")</f>
        <v>2.083333333333337E-2</v>
      </c>
    </row>
    <row r="27" spans="1:14" ht="17.45" customHeight="1" x14ac:dyDescent="0.35">
      <c r="A27" s="155">
        <v>9</v>
      </c>
      <c r="B27" s="156" t="str">
        <f t="shared" si="0"/>
        <v>Montag</v>
      </c>
      <c r="C27" s="157">
        <v>0.35416666666666669</v>
      </c>
      <c r="D27" s="157">
        <v>0.70833333333333337</v>
      </c>
      <c r="E27" s="157">
        <v>2.0833333333333332E-2</v>
      </c>
      <c r="F27" s="158">
        <f t="shared" si="1"/>
        <v>0.33333333333333337</v>
      </c>
      <c r="G27" s="159"/>
      <c r="H27" s="160">
        <f t="shared" si="2"/>
        <v>0.33333333333333331</v>
      </c>
      <c r="I27" s="161" t="str" cm="1">
        <f t="array" ref="I27">IF(AND(F27&gt;H27,OR(AND(OR($B27&lt;&gt;Ref!$A$7,$H$53&gt;0),OR($B27&lt;&gt;Ref!$A$8,$H$54&gt;0)),COUNT(SEARCH(Sonderarbeit,$N27))&gt;=1),ISNONTEXT(C27),C27&lt;&gt;""),F27-H27,"")</f>
        <v/>
      </c>
      <c r="J27" s="162" t="str" cm="1">
        <f t="array" ref="J27">IF(OR(AND(F27&lt;H27,OR(AND(OR($B27&lt;&gt;Ref!$A$7,$H$53&gt;0),OR($B27&lt;&gt;Ref!$A$8,$H$54&gt;0)),COUNT(SEARCH(Sonderarbeit,$N27))&gt;=1)),C27="Ausgleich"),H27-F27,"")</f>
        <v/>
      </c>
      <c r="K27" s="163" t="str">
        <f>IF(AND(B27=Ref!$A$8,SUM(I21:I27)&lt;SUM(J21:J27)),"-","")</f>
        <v/>
      </c>
      <c r="L27" s="167" t="str">
        <f>IF(B27=Ref!$A$8,ABS(SUM(I21:I27)-SUM(J21:J27)),"")</f>
        <v/>
      </c>
    </row>
    <row r="28" spans="1:14" ht="17.45" customHeight="1" x14ac:dyDescent="0.35">
      <c r="A28" s="155">
        <v>10</v>
      </c>
      <c r="B28" s="156" t="str">
        <f t="shared" si="0"/>
        <v>Dienstag</v>
      </c>
      <c r="C28" s="157">
        <v>0.35416666666666669</v>
      </c>
      <c r="D28" s="157">
        <v>0.70833333333333337</v>
      </c>
      <c r="E28" s="157">
        <v>2.0833333333333332E-2</v>
      </c>
      <c r="F28" s="158">
        <f t="shared" si="1"/>
        <v>0.33333333333333337</v>
      </c>
      <c r="G28" s="159"/>
      <c r="H28" s="160">
        <f t="shared" si="2"/>
        <v>0.33333333333333331</v>
      </c>
      <c r="I28" s="161" t="str" cm="1">
        <f t="array" ref="I28">IF(AND(F28&gt;H28,OR(AND(OR($B28&lt;&gt;Ref!$A$7,$H$53&gt;0),OR($B28&lt;&gt;Ref!$A$8,$H$54&gt;0)),COUNT(SEARCH(Sonderarbeit,$N28))&gt;=1),ISNONTEXT(C28),C28&lt;&gt;""),F28-H28,"")</f>
        <v/>
      </c>
      <c r="J28" s="162" t="str" cm="1">
        <f t="array" ref="J28">IF(OR(AND(F28&lt;H28,OR(AND(OR($B28&lt;&gt;Ref!$A$7,$H$53&gt;0),OR($B28&lt;&gt;Ref!$A$8,$H$54&gt;0)),COUNT(SEARCH(Sonderarbeit,$N28))&gt;=1)),C28="Ausgleich"),H28-F28,"")</f>
        <v/>
      </c>
      <c r="K28" s="163" t="str">
        <f>IF(AND(B28=Ref!$A$8,SUM(I22:I28)&lt;SUM(J22:J28)),"-","")</f>
        <v/>
      </c>
      <c r="L28" s="167" t="str">
        <f>IF(B28=Ref!$A$8,ABS(SUM(I22:I28)-SUM(J22:J28)),"")</f>
        <v/>
      </c>
    </row>
    <row r="29" spans="1:14" ht="17.45" customHeight="1" x14ac:dyDescent="0.35">
      <c r="A29" s="168">
        <v>11</v>
      </c>
      <c r="B29" s="156" t="str">
        <f t="shared" si="0"/>
        <v>Mittwoch</v>
      </c>
      <c r="C29" s="157">
        <v>0.35416666666666669</v>
      </c>
      <c r="D29" s="157">
        <v>0.70833333333333337</v>
      </c>
      <c r="E29" s="157">
        <v>2.0833333333333332E-2</v>
      </c>
      <c r="F29" s="158">
        <f t="shared" si="1"/>
        <v>0.33333333333333337</v>
      </c>
      <c r="G29" s="159"/>
      <c r="H29" s="160">
        <f t="shared" si="2"/>
        <v>0.33333333333333331</v>
      </c>
      <c r="I29" s="161" t="str" cm="1">
        <f t="array" ref="I29">IF(AND(F29&gt;H29,OR(AND(OR($B29&lt;&gt;Ref!$A$7,$H$53&gt;0),OR($B29&lt;&gt;Ref!$A$8,$H$54&gt;0)),COUNT(SEARCH(Sonderarbeit,$N29))&gt;=1),ISNONTEXT(C29),C29&lt;&gt;""),F29-H29,"")</f>
        <v/>
      </c>
      <c r="J29" s="162" t="str" cm="1">
        <f t="array" ref="J29">IF(OR(AND(F29&lt;H29,OR(AND(OR($B29&lt;&gt;Ref!$A$7,$H$53&gt;0),OR($B29&lt;&gt;Ref!$A$8,$H$54&gt;0)),COUNT(SEARCH(Sonderarbeit,$N29))&gt;=1)),C29="Ausgleich"),H29-F29,"")</f>
        <v/>
      </c>
      <c r="K29" s="163" t="str">
        <f>IF(AND(B29=Ref!$A$8,SUM(I23:I29)&lt;SUM(J23:J29)),"-","")</f>
        <v/>
      </c>
      <c r="L29" s="167" t="str">
        <f>IF(B29=Ref!$A$8,ABS(SUM(I23:I29)-SUM(J23:J29)),"")</f>
        <v/>
      </c>
    </row>
    <row r="30" spans="1:14" ht="17.45" customHeight="1" x14ac:dyDescent="0.35">
      <c r="A30" s="168">
        <v>12</v>
      </c>
      <c r="B30" s="156" t="str">
        <f t="shared" si="0"/>
        <v>Donnerstag</v>
      </c>
      <c r="C30" s="157">
        <v>0.35416666666666669</v>
      </c>
      <c r="D30" s="157">
        <v>0.70833333333333337</v>
      </c>
      <c r="E30" s="157">
        <v>2.0833333333333332E-2</v>
      </c>
      <c r="F30" s="158">
        <f t="shared" si="1"/>
        <v>0.33333333333333337</v>
      </c>
      <c r="G30" s="159"/>
      <c r="H30" s="160">
        <f t="shared" si="2"/>
        <v>0.33333333333333331</v>
      </c>
      <c r="I30" s="161" t="str" cm="1">
        <f t="array" ref="I30">IF(AND(F30&gt;H30,OR(AND(OR($B30&lt;&gt;Ref!$A$7,$H$53&gt;0),OR($B30&lt;&gt;Ref!$A$8,$H$54&gt;0)),COUNT(SEARCH(Sonderarbeit,$N30))&gt;=1),ISNONTEXT(C30),C30&lt;&gt;""),F30-H30,"")</f>
        <v/>
      </c>
      <c r="J30" s="162" t="str" cm="1">
        <f t="array" ref="J30">IF(OR(AND(F30&lt;H30,OR(AND(OR($B30&lt;&gt;Ref!$A$7,$H$53&gt;0),OR($B30&lt;&gt;Ref!$A$8,$H$54&gt;0)),COUNT(SEARCH(Sonderarbeit,$N30))&gt;=1)),C30="Ausgleich"),H30-F30,"")</f>
        <v/>
      </c>
      <c r="K30" s="163" t="str">
        <f>IF(AND(B30=Ref!$A$8,SUM(I24:I30)&lt;SUM(J24:J30)),"-","")</f>
        <v/>
      </c>
      <c r="L30" s="167" t="str">
        <f>IF(B30=Ref!$A$8,ABS(SUM(I24:I30)-SUM(J24:J30)),"")</f>
        <v/>
      </c>
    </row>
    <row r="31" spans="1:14" ht="17.45" customHeight="1" x14ac:dyDescent="0.35">
      <c r="A31" s="168">
        <v>13</v>
      </c>
      <c r="B31" s="156" t="str">
        <f t="shared" si="0"/>
        <v>Freitag</v>
      </c>
      <c r="C31" s="157">
        <v>0.35416666666666669</v>
      </c>
      <c r="D31" s="157">
        <v>0.70833333333333337</v>
      </c>
      <c r="E31" s="157">
        <v>2.0833333333333332E-2</v>
      </c>
      <c r="F31" s="158">
        <f t="shared" si="1"/>
        <v>0.33333333333333337</v>
      </c>
      <c r="G31" s="159"/>
      <c r="H31" s="160">
        <f t="shared" si="2"/>
        <v>0.3125</v>
      </c>
      <c r="I31" s="161" cm="1">
        <f t="array" ref="I31">IF(AND(F31&gt;H31,OR(AND(OR($B31&lt;&gt;Ref!$A$7,$H$53&gt;0),OR($B31&lt;&gt;Ref!$A$8,$H$54&gt;0)),COUNT(SEARCH(Sonderarbeit,$N31))&gt;=1),ISNONTEXT(C31),C31&lt;&gt;""),F31-H31,"")</f>
        <v>2.083333333333337E-2</v>
      </c>
      <c r="J31" s="162" t="str" cm="1">
        <f t="array" ref="J31">IF(OR(AND(F31&lt;H31,OR(AND(OR($B31&lt;&gt;Ref!$A$7,$H$53&gt;0),OR($B31&lt;&gt;Ref!$A$8,$H$54&gt;0)),COUNT(SEARCH(Sonderarbeit,$N31))&gt;=1)),C31="Ausgleich"),H31-F31,"")</f>
        <v/>
      </c>
      <c r="K31" s="163" t="str">
        <f>IF(AND(B31=Ref!$A$8,SUM(I25:I31)&lt;SUM(J25:J31)),"-","")</f>
        <v/>
      </c>
      <c r="L31" s="167" t="str">
        <f>IF(B31=Ref!$A$8,ABS(SUM(I25:I31)-SUM(J25:J31)),"")</f>
        <v/>
      </c>
    </row>
    <row r="32" spans="1:14" ht="17.45" customHeight="1" x14ac:dyDescent="0.35">
      <c r="A32" s="168">
        <v>14</v>
      </c>
      <c r="B32" s="156" t="str">
        <f t="shared" si="0"/>
        <v>Samstag</v>
      </c>
      <c r="C32" s="157">
        <v>0.35416666666666669</v>
      </c>
      <c r="D32" s="157">
        <v>0.70833333333333337</v>
      </c>
      <c r="E32" s="157">
        <v>2.0833333333333332E-2</v>
      </c>
      <c r="F32" s="158">
        <f t="shared" si="1"/>
        <v>0.33333333333333337</v>
      </c>
      <c r="G32" s="159"/>
      <c r="H32" s="160">
        <f t="shared" si="2"/>
        <v>0</v>
      </c>
      <c r="I32" s="161" t="str" cm="1">
        <f t="array" ref="I32">IF(AND(F32&gt;H32,OR(AND(OR($B32&lt;&gt;Ref!$A$7,$H$53&gt;0),OR($B32&lt;&gt;Ref!$A$8,$H$54&gt;0)),COUNT(SEARCH(Sonderarbeit,$N32))&gt;=1),ISNONTEXT(C32),C32&lt;&gt;""),F32-H32,"")</f>
        <v/>
      </c>
      <c r="J32" s="162" t="str" cm="1">
        <f t="array" ref="J32">IF(OR(AND(F32&lt;H32,OR(AND(OR($B32&lt;&gt;Ref!$A$7,$H$53&gt;0),OR($B32&lt;&gt;Ref!$A$8,$H$54&gt;0)),COUNT(SEARCH(Sonderarbeit,$N32))&gt;=1)),C32="Ausgleich"),H32-F32,"")</f>
        <v/>
      </c>
      <c r="K32" s="163" t="str">
        <f>IF(AND(B32=Ref!$A$8,SUM(I26:I32)&lt;SUM(J26:J32)),"-","")</f>
        <v/>
      </c>
      <c r="L32" s="167" t="str">
        <f>IF(B32=Ref!$A$8,ABS(SUM(I26:I32)-SUM(J26:J32)),"")</f>
        <v/>
      </c>
    </row>
    <row r="33" spans="1:14" ht="17.45" customHeight="1" x14ac:dyDescent="0.35">
      <c r="A33" s="155">
        <v>15</v>
      </c>
      <c r="B33" s="156" t="str">
        <f t="shared" si="0"/>
        <v>Sonntag</v>
      </c>
      <c r="C33" s="157">
        <v>0.35416666666666669</v>
      </c>
      <c r="D33" s="157">
        <v>0.70833333333333337</v>
      </c>
      <c r="E33" s="157">
        <v>2.0833333333333332E-2</v>
      </c>
      <c r="F33" s="158">
        <f t="shared" si="1"/>
        <v>0.33333333333333337</v>
      </c>
      <c r="G33" s="159"/>
      <c r="H33" s="160">
        <f t="shared" si="2"/>
        <v>0</v>
      </c>
      <c r="I33" s="161" t="str" cm="1">
        <f t="array" ref="I33">IF(AND(F33&gt;H33,OR(AND(OR($B33&lt;&gt;Ref!$A$7,$H$53&gt;0),OR($B33&lt;&gt;Ref!$A$8,$H$54&gt;0)),COUNT(SEARCH(Sonderarbeit,$N33))&gt;=1),ISNONTEXT(C33),C33&lt;&gt;""),F33-H33,"")</f>
        <v/>
      </c>
      <c r="J33" s="162" t="str" cm="1">
        <f t="array" ref="J33">IF(OR(AND(F33&lt;H33,OR(AND(OR($B33&lt;&gt;Ref!$A$7,$H$53&gt;0),OR($B33&lt;&gt;Ref!$A$8,$H$54&gt;0)),COUNT(SEARCH(Sonderarbeit,$N33))&gt;=1)),C33="Ausgleich"),H33-F33,"")</f>
        <v/>
      </c>
      <c r="K33" s="163" t="str">
        <f>IF(AND(B33=Ref!$A$8,SUM(I27:I33)&lt;SUM(J27:J33)),"-","")</f>
        <v/>
      </c>
      <c r="L33" s="167">
        <f>IF(B33=Ref!$A$8,ABS(SUM(I27:I33)-SUM(J27:J33)),"")</f>
        <v>2.083333333333337E-2</v>
      </c>
    </row>
    <row r="34" spans="1:14" ht="17.45" customHeight="1" x14ac:dyDescent="0.35">
      <c r="A34" s="155">
        <v>16</v>
      </c>
      <c r="B34" s="156" t="str">
        <f t="shared" si="0"/>
        <v>Montag</v>
      </c>
      <c r="C34" s="157">
        <v>0.35416666666666669</v>
      </c>
      <c r="D34" s="157">
        <v>0.70833333333333337</v>
      </c>
      <c r="E34" s="157">
        <v>2.0833333333333332E-2</v>
      </c>
      <c r="F34" s="158">
        <f t="shared" si="1"/>
        <v>0.33333333333333337</v>
      </c>
      <c r="G34" s="159"/>
      <c r="H34" s="160">
        <f t="shared" si="2"/>
        <v>0.33333333333333331</v>
      </c>
      <c r="I34" s="161" t="str" cm="1">
        <f t="array" ref="I34">IF(AND(F34&gt;H34,OR(AND(OR($B34&lt;&gt;Ref!$A$7,$H$53&gt;0),OR($B34&lt;&gt;Ref!$A$8,$H$54&gt;0)),COUNT(SEARCH(Sonderarbeit,$N34))&gt;=1),ISNONTEXT(C34),C34&lt;&gt;""),F34-H34,"")</f>
        <v/>
      </c>
      <c r="J34" s="162" t="str" cm="1">
        <f t="array" ref="J34">IF(OR(AND(F34&lt;H34,OR(AND(OR($B34&lt;&gt;Ref!$A$7,$H$53&gt;0),OR($B34&lt;&gt;Ref!$A$8,$H$54&gt;0)),COUNT(SEARCH(Sonderarbeit,$N34))&gt;=1)),C34="Ausgleich"),H34-F34,"")</f>
        <v/>
      </c>
      <c r="K34" s="163" t="str">
        <f>IF(AND(B34=Ref!$A$8,SUM(I28:I34)&lt;SUM(J28:J34)),"-","")</f>
        <v/>
      </c>
      <c r="L34" s="167" t="str">
        <f>IF(B34=Ref!$A$8,ABS(SUM(I28:I34)-SUM(J28:J34)),"")</f>
        <v/>
      </c>
      <c r="N34" s="100" t="s">
        <v>126</v>
      </c>
    </row>
    <row r="35" spans="1:14" ht="17.45" customHeight="1" x14ac:dyDescent="0.35">
      <c r="A35" s="155">
        <v>17</v>
      </c>
      <c r="B35" s="156" t="str">
        <f t="shared" si="0"/>
        <v>Dienstag</v>
      </c>
      <c r="C35" s="157">
        <v>0.35416666666666669</v>
      </c>
      <c r="D35" s="157">
        <v>0.70833333333333337</v>
      </c>
      <c r="E35" s="157">
        <v>2.0833333333333332E-2</v>
      </c>
      <c r="F35" s="158">
        <f t="shared" si="1"/>
        <v>0.33333333333333337</v>
      </c>
      <c r="G35" s="159"/>
      <c r="H35" s="160">
        <f t="shared" si="2"/>
        <v>0.33333333333333331</v>
      </c>
      <c r="I35" s="161" t="str" cm="1">
        <f t="array" ref="I35">IF(AND(F35&gt;H35,OR(AND(OR($B35&lt;&gt;Ref!$A$7,$H$53&gt;0),OR($B35&lt;&gt;Ref!$A$8,$H$54&gt;0)),COUNT(SEARCH(Sonderarbeit,$N35))&gt;=1),ISNONTEXT(C35),C35&lt;&gt;""),F35-H35,"")</f>
        <v/>
      </c>
      <c r="J35" s="162" t="str" cm="1">
        <f t="array" ref="J35">IF(OR(AND(F35&lt;H35,OR(AND(OR($B35&lt;&gt;Ref!$A$7,$H$53&gt;0),OR($B35&lt;&gt;Ref!$A$8,$H$54&gt;0)),COUNT(SEARCH(Sonderarbeit,$N35))&gt;=1)),C35="Ausgleich"),H35-F35,"")</f>
        <v/>
      </c>
      <c r="K35" s="163" t="str">
        <f>IF(AND(B35=Ref!$A$8,SUM(I29:I35)&lt;SUM(J29:J35)),"-","")</f>
        <v/>
      </c>
      <c r="L35" s="167" t="str">
        <f>IF(B35=Ref!$A$8,ABS(SUM(I29:I35)-SUM(J29:J35)),"")</f>
        <v/>
      </c>
      <c r="N35" s="100" t="s">
        <v>71</v>
      </c>
    </row>
    <row r="36" spans="1:14" ht="17.45" customHeight="1" x14ac:dyDescent="0.35">
      <c r="A36" s="155">
        <v>18</v>
      </c>
      <c r="B36" s="156" t="str">
        <f t="shared" si="0"/>
        <v>Mittwoch</v>
      </c>
      <c r="C36" s="157">
        <v>0.35416666666666669</v>
      </c>
      <c r="D36" s="157">
        <v>0.70833333333333337</v>
      </c>
      <c r="E36" s="157">
        <v>2.0833333333333332E-2</v>
      </c>
      <c r="F36" s="158">
        <f t="shared" si="1"/>
        <v>0.33333333333333337</v>
      </c>
      <c r="G36" s="159"/>
      <c r="H36" s="160">
        <f t="shared" si="2"/>
        <v>0.33333333333333331</v>
      </c>
      <c r="I36" s="161" t="str" cm="1">
        <f t="array" ref="I36">IF(AND(F36&gt;H36,OR(AND(OR($B36&lt;&gt;Ref!$A$7,$H$53&gt;0),OR($B36&lt;&gt;Ref!$A$8,$H$54&gt;0)),COUNT(SEARCH(Sonderarbeit,$N36))&gt;=1),ISNONTEXT(C36),C36&lt;&gt;""),F36-H36,"")</f>
        <v/>
      </c>
      <c r="J36" s="162" t="str" cm="1">
        <f t="array" ref="J36">IF(OR(AND(F36&lt;H36,OR(AND(OR($B36&lt;&gt;Ref!$A$7,$H$53&gt;0),OR($B36&lt;&gt;Ref!$A$8,$H$54&gt;0)),COUNT(SEARCH(Sonderarbeit,$N36))&gt;=1)),C36="Ausgleich"),H36-F36,"")</f>
        <v/>
      </c>
      <c r="K36" s="163" t="str">
        <f>IF(AND(B36=Ref!$A$8,SUM(I30:I36)&lt;SUM(J30:J36)),"-","")</f>
        <v/>
      </c>
      <c r="L36" s="167" t="str">
        <f>IF(B36=Ref!$A$8,ABS(SUM(I30:I36)-SUM(J30:J36)),"")</f>
        <v/>
      </c>
    </row>
    <row r="37" spans="1:14" ht="17.45" customHeight="1" x14ac:dyDescent="0.35">
      <c r="A37" s="155">
        <v>19</v>
      </c>
      <c r="B37" s="156" t="str">
        <f t="shared" si="0"/>
        <v>Donnerstag</v>
      </c>
      <c r="C37" s="157">
        <v>0.35416666666666669</v>
      </c>
      <c r="D37" s="157">
        <v>0.70833333333333337</v>
      </c>
      <c r="E37" s="157">
        <v>2.0833333333333332E-2</v>
      </c>
      <c r="F37" s="158">
        <f t="shared" si="1"/>
        <v>0.33333333333333337</v>
      </c>
      <c r="G37" s="159"/>
      <c r="H37" s="160">
        <f t="shared" si="2"/>
        <v>0.33333333333333331</v>
      </c>
      <c r="I37" s="161" t="str" cm="1">
        <f t="array" ref="I37">IF(AND(F37&gt;H37,OR(AND(OR($B37&lt;&gt;Ref!$A$7,$H$53&gt;0),OR($B37&lt;&gt;Ref!$A$8,$H$54&gt;0)),COUNT(SEARCH(Sonderarbeit,$N37))&gt;=1),ISNONTEXT(C37),C37&lt;&gt;""),F37-H37,"")</f>
        <v/>
      </c>
      <c r="J37" s="162" t="str" cm="1">
        <f t="array" ref="J37">IF(OR(AND(F37&lt;H37,OR(AND(OR($B37&lt;&gt;Ref!$A$7,$H$53&gt;0),OR($B37&lt;&gt;Ref!$A$8,$H$54&gt;0)),COUNT(SEARCH(Sonderarbeit,$N37))&gt;=1)),C37="Ausgleich"),H37-F37,"")</f>
        <v/>
      </c>
      <c r="K37" s="163" t="str">
        <f>IF(AND(B37=Ref!$A$8,SUM(I31:I37)&lt;SUM(J31:J37)),"-","")</f>
        <v/>
      </c>
      <c r="L37" s="167" t="str">
        <f>IF(B37=Ref!$A$8,ABS(SUM(I31:I37)-SUM(J31:J37)),"")</f>
        <v/>
      </c>
    </row>
    <row r="38" spans="1:14" ht="17.45" customHeight="1" x14ac:dyDescent="0.35">
      <c r="A38" s="155">
        <v>20</v>
      </c>
      <c r="B38" s="156" t="str">
        <f t="shared" si="0"/>
        <v>Freitag</v>
      </c>
      <c r="C38" s="157">
        <v>0.35416666666666669</v>
      </c>
      <c r="D38" s="157">
        <v>0.70833333333333337</v>
      </c>
      <c r="E38" s="157">
        <v>2.0833333333333332E-2</v>
      </c>
      <c r="F38" s="158">
        <f t="shared" si="1"/>
        <v>0.33333333333333337</v>
      </c>
      <c r="G38" s="159"/>
      <c r="H38" s="160">
        <f t="shared" si="2"/>
        <v>0.3125</v>
      </c>
      <c r="I38" s="161" cm="1">
        <f t="array" ref="I38">IF(AND(F38&gt;H38,OR(AND(OR($B38&lt;&gt;Ref!$A$7,$H$53&gt;0),OR($B38&lt;&gt;Ref!$A$8,$H$54&gt;0)),COUNT(SEARCH(Sonderarbeit,$N38))&gt;=1),ISNONTEXT(C38),C38&lt;&gt;""),F38-H38,"")</f>
        <v>2.083333333333337E-2</v>
      </c>
      <c r="J38" s="162" t="str" cm="1">
        <f t="array" ref="J38">IF(OR(AND(F38&lt;H38,OR(AND(OR($B38&lt;&gt;Ref!$A$7,$H$53&gt;0),OR($B38&lt;&gt;Ref!$A$8,$H$54&gt;0)),COUNT(SEARCH(Sonderarbeit,$N38))&gt;=1)),C38="Ausgleich"),H38-F38,"")</f>
        <v/>
      </c>
      <c r="K38" s="163" t="str">
        <f>IF(AND(B38=Ref!$A$8,SUM(I32:I38)&lt;SUM(J32:J38)),"-","")</f>
        <v/>
      </c>
      <c r="L38" s="167" t="str">
        <f>IF(B38=Ref!$A$8,ABS(SUM(I32:I38)-SUM(J32:J38)),"")</f>
        <v/>
      </c>
      <c r="N38" s="100" t="s">
        <v>127</v>
      </c>
    </row>
    <row r="39" spans="1:14" ht="17.45" customHeight="1" x14ac:dyDescent="0.35">
      <c r="A39" s="155">
        <v>21</v>
      </c>
      <c r="B39" s="156" t="str">
        <f t="shared" si="0"/>
        <v>Samstag</v>
      </c>
      <c r="C39" s="157">
        <v>0.35416666666666669</v>
      </c>
      <c r="D39" s="157">
        <v>0.70833333333333337</v>
      </c>
      <c r="E39" s="157">
        <v>2.0833333333333332E-2</v>
      </c>
      <c r="F39" s="158">
        <f t="shared" si="1"/>
        <v>0.33333333333333337</v>
      </c>
      <c r="G39" s="159"/>
      <c r="H39" s="160">
        <f t="shared" si="2"/>
        <v>0</v>
      </c>
      <c r="I39" s="161" t="str" cm="1">
        <f t="array" ref="I39">IF(AND(F39&gt;H39,OR(AND(OR($B39&lt;&gt;Ref!$A$7,$H$53&gt;0),OR($B39&lt;&gt;Ref!$A$8,$H$54&gt;0)),COUNT(SEARCH(Sonderarbeit,$N39))&gt;=1),ISNONTEXT(C39),C39&lt;&gt;""),F39-H39,"")</f>
        <v/>
      </c>
      <c r="J39" s="162" t="str" cm="1">
        <f t="array" ref="J39">IF(OR(AND(F39&lt;H39,OR(AND(OR($B39&lt;&gt;Ref!$A$7,$H$53&gt;0),OR($B39&lt;&gt;Ref!$A$8,$H$54&gt;0)),COUNT(SEARCH(Sonderarbeit,$N39))&gt;=1)),C39="Ausgleich"),H39-F39,"")</f>
        <v/>
      </c>
      <c r="K39" s="163" t="str">
        <f>IF(AND(B39=Ref!$A$8,SUM(I33:I39)&lt;SUM(J33:J39)),"-","")</f>
        <v/>
      </c>
      <c r="L39" s="167" t="str">
        <f>IF(B39=Ref!$A$8,ABS(SUM(I33:I39)-SUM(J33:J39)),"")</f>
        <v/>
      </c>
    </row>
    <row r="40" spans="1:14" ht="17.45" customHeight="1" x14ac:dyDescent="0.35">
      <c r="A40" s="155">
        <v>22</v>
      </c>
      <c r="B40" s="156" t="str">
        <f t="shared" si="0"/>
        <v>Sonntag</v>
      </c>
      <c r="C40" s="157">
        <v>0.35416666666666669</v>
      </c>
      <c r="D40" s="157">
        <v>0.70833333333333337</v>
      </c>
      <c r="E40" s="157">
        <v>2.0833333333333332E-2</v>
      </c>
      <c r="F40" s="158">
        <f t="shared" si="1"/>
        <v>0.33333333333333337</v>
      </c>
      <c r="G40" s="159"/>
      <c r="H40" s="160">
        <f t="shared" si="2"/>
        <v>0</v>
      </c>
      <c r="I40" s="161" t="str" cm="1">
        <f t="array" ref="I40">IF(AND(F40&gt;H40,OR(AND(OR($B40&lt;&gt;Ref!$A$7,$H$53&gt;0),OR($B40&lt;&gt;Ref!$A$8,$H$54&gt;0)),COUNT(SEARCH(Sonderarbeit,$N40))&gt;=1),ISNONTEXT(C40),C40&lt;&gt;""),F40-H40,"")</f>
        <v/>
      </c>
      <c r="J40" s="162" t="str" cm="1">
        <f t="array" ref="J40">IF(OR(AND(F40&lt;H40,OR(AND(OR($B40&lt;&gt;Ref!$A$7,$H$53&gt;0),OR($B40&lt;&gt;Ref!$A$8,$H$54&gt;0)),COUNT(SEARCH(Sonderarbeit,$N40))&gt;=1)),C40="Ausgleich"),H40-F40,"")</f>
        <v/>
      </c>
      <c r="K40" s="163" t="str">
        <f>IF(AND(B40=Ref!$A$8,SUM(I34:I40)&lt;SUM(J34:J40)),"-","")</f>
        <v/>
      </c>
      <c r="L40" s="167">
        <f>IF(B40=Ref!$A$8,ABS(SUM(I34:I40)-SUM(J34:J40)),"")</f>
        <v>2.083333333333337E-2</v>
      </c>
    </row>
    <row r="41" spans="1:14" ht="17.45" customHeight="1" x14ac:dyDescent="0.35">
      <c r="A41" s="155">
        <v>23</v>
      </c>
      <c r="B41" s="156" t="str">
        <f t="shared" si="0"/>
        <v>Montag</v>
      </c>
      <c r="C41" s="157">
        <v>0.35416666666666669</v>
      </c>
      <c r="D41" s="157">
        <v>0.70833333333333337</v>
      </c>
      <c r="E41" s="157">
        <v>2.0833333333333332E-2</v>
      </c>
      <c r="F41" s="158">
        <f t="shared" si="1"/>
        <v>0.33333333333333337</v>
      </c>
      <c r="G41" s="159"/>
      <c r="H41" s="160">
        <f t="shared" si="2"/>
        <v>0.33333333333333331</v>
      </c>
      <c r="I41" s="161" t="str" cm="1">
        <f t="array" ref="I41">IF(AND(F41&gt;H41,OR(AND(OR($B41&lt;&gt;Ref!$A$7,$H$53&gt;0),OR($B41&lt;&gt;Ref!$A$8,$H$54&gt;0)),COUNT(SEARCH(Sonderarbeit,$N41))&gt;=1),ISNONTEXT(C41),C41&lt;&gt;""),F41-H41,"")</f>
        <v/>
      </c>
      <c r="J41" s="162" t="str" cm="1">
        <f t="array" ref="J41">IF(OR(AND(F41&lt;H41,OR(AND(OR($B41&lt;&gt;Ref!$A$7,$H$53&gt;0),OR($B41&lt;&gt;Ref!$A$8,$H$54&gt;0)),COUNT(SEARCH(Sonderarbeit,$N41))&gt;=1)),C41="Ausgleich"),H41-F41,"")</f>
        <v/>
      </c>
      <c r="K41" s="163" t="str">
        <f>IF(AND(B41=Ref!$A$8,SUM(I35:I41)&lt;SUM(J35:J41)),"-","")</f>
        <v/>
      </c>
      <c r="L41" s="167" t="str">
        <f>IF(B41=Ref!$A$8,ABS(SUM(I35:I41)-SUM(J35:J41)),"")</f>
        <v/>
      </c>
    </row>
    <row r="42" spans="1:14" ht="17.45" customHeight="1" x14ac:dyDescent="0.35">
      <c r="A42" s="155">
        <v>24</v>
      </c>
      <c r="B42" s="156" t="str">
        <f t="shared" si="0"/>
        <v>Dienstag</v>
      </c>
      <c r="C42" s="157">
        <v>0.35416666666666669</v>
      </c>
      <c r="D42" s="157">
        <v>0.70833333333333337</v>
      </c>
      <c r="E42" s="157">
        <v>2.0833333333333332E-2</v>
      </c>
      <c r="F42" s="158">
        <f t="shared" si="1"/>
        <v>0.33333333333333337</v>
      </c>
      <c r="G42" s="159"/>
      <c r="H42" s="160">
        <f t="shared" si="2"/>
        <v>0.33333333333333331</v>
      </c>
      <c r="I42" s="161" t="str" cm="1">
        <f t="array" ref="I42">IF(AND(F42&gt;H42,OR(AND(OR($B42&lt;&gt;Ref!$A$7,$H$53&gt;0),OR($B42&lt;&gt;Ref!$A$8,$H$54&gt;0)),COUNT(SEARCH(Sonderarbeit,$N42))&gt;=1),ISNONTEXT(C42),C42&lt;&gt;""),F42-H42,"")</f>
        <v/>
      </c>
      <c r="J42" s="162" t="str" cm="1">
        <f t="array" ref="J42">IF(OR(AND(F42&lt;H42,OR(AND(OR($B42&lt;&gt;Ref!$A$7,$H$53&gt;0),OR($B42&lt;&gt;Ref!$A$8,$H$54&gt;0)),COUNT(SEARCH(Sonderarbeit,$N42))&gt;=1)),C42="Ausgleich"),H42-F42,"")</f>
        <v/>
      </c>
      <c r="K42" s="163" t="str">
        <f>IF(AND(B42=Ref!$A$8,SUM(I36:I42)&lt;SUM(J36:J42)),"-","")</f>
        <v/>
      </c>
      <c r="L42" s="167" t="str">
        <f>IF(B42=Ref!$A$8,ABS(SUM(I36:I42)-SUM(J36:J42)),"")</f>
        <v/>
      </c>
    </row>
    <row r="43" spans="1:14" ht="17.45" customHeight="1" x14ac:dyDescent="0.35">
      <c r="A43" s="155">
        <v>25</v>
      </c>
      <c r="B43" s="156" t="str">
        <f t="shared" si="0"/>
        <v>Mittwoch</v>
      </c>
      <c r="C43" s="157">
        <v>0.35416666666666669</v>
      </c>
      <c r="D43" s="157">
        <v>0.70833333333333337</v>
      </c>
      <c r="E43" s="157">
        <v>2.0833333333333332E-2</v>
      </c>
      <c r="F43" s="158">
        <f t="shared" si="1"/>
        <v>0.33333333333333337</v>
      </c>
      <c r="G43" s="159"/>
      <c r="H43" s="160">
        <f t="shared" si="2"/>
        <v>0.33333333333333331</v>
      </c>
      <c r="I43" s="161" t="str" cm="1">
        <f t="array" ref="I43">IF(AND(F43&gt;H43,OR(AND(OR($B43&lt;&gt;Ref!$A$7,$H$53&gt;0),OR($B43&lt;&gt;Ref!$A$8,$H$54&gt;0)),COUNT(SEARCH(Sonderarbeit,$N43))&gt;=1),ISNONTEXT(C43),C43&lt;&gt;""),F43-H43,"")</f>
        <v/>
      </c>
      <c r="J43" s="162" t="str" cm="1">
        <f t="array" ref="J43">IF(OR(AND(F43&lt;H43,OR(AND(OR($B43&lt;&gt;Ref!$A$7,$H$53&gt;0),OR($B43&lt;&gt;Ref!$A$8,$H$54&gt;0)),COUNT(SEARCH(Sonderarbeit,$N43))&gt;=1)),C43="Ausgleich"),H43-F43,"")</f>
        <v/>
      </c>
      <c r="K43" s="163" t="str">
        <f>IF(AND(B43=Ref!$A$8,SUM(I37:I43)&lt;SUM(J37:J43)),"-","")</f>
        <v/>
      </c>
      <c r="L43" s="167" t="str">
        <f>IF(B43=Ref!$A$8,ABS(SUM(I37:I43)-SUM(J37:J43)),"")</f>
        <v/>
      </c>
    </row>
    <row r="44" spans="1:14" ht="17.45" customHeight="1" x14ac:dyDescent="0.35">
      <c r="A44" s="155">
        <v>26</v>
      </c>
      <c r="B44" s="156" t="str">
        <f t="shared" si="0"/>
        <v>Donnerstag</v>
      </c>
      <c r="C44" s="157">
        <v>0.35416666666666669</v>
      </c>
      <c r="D44" s="157">
        <v>0.70833333333333337</v>
      </c>
      <c r="E44" s="157">
        <v>2.0833333333333332E-2</v>
      </c>
      <c r="F44" s="158">
        <f t="shared" si="1"/>
        <v>0.33333333333333337</v>
      </c>
      <c r="G44" s="159"/>
      <c r="H44" s="160">
        <f t="shared" si="2"/>
        <v>0.33333333333333331</v>
      </c>
      <c r="I44" s="161" t="str" cm="1">
        <f t="array" ref="I44">IF(AND(F44&gt;H44,OR(AND(OR($B44&lt;&gt;Ref!$A$7,$H$53&gt;0),OR($B44&lt;&gt;Ref!$A$8,$H$54&gt;0)),COUNT(SEARCH(Sonderarbeit,$N44))&gt;=1),ISNONTEXT(C44),C44&lt;&gt;""),F44-H44,"")</f>
        <v/>
      </c>
      <c r="J44" s="162" t="str" cm="1">
        <f t="array" ref="J44">IF(OR(AND(F44&lt;H44,OR(AND(OR($B44&lt;&gt;Ref!$A$7,$H$53&gt;0),OR($B44&lt;&gt;Ref!$A$8,$H$54&gt;0)),COUNT(SEARCH(Sonderarbeit,$N44))&gt;=1)),C44="Ausgleich"),H44-F44,"")</f>
        <v/>
      </c>
      <c r="K44" s="163" t="str">
        <f>IF(AND(B44=Ref!$A$8,SUM(I38:I44)&lt;SUM(J38:J44)),"-","")</f>
        <v/>
      </c>
      <c r="L44" s="167" t="str">
        <f>IF(B44=Ref!$A$8,ABS(SUM(I38:I44)-SUM(J38:J44)),"")</f>
        <v/>
      </c>
    </row>
    <row r="45" spans="1:14" ht="17.45" customHeight="1" x14ac:dyDescent="0.35">
      <c r="A45" s="155">
        <v>27</v>
      </c>
      <c r="B45" s="156" t="str">
        <f t="shared" si="0"/>
        <v>Freitag</v>
      </c>
      <c r="C45" s="157">
        <v>0.35416666666666669</v>
      </c>
      <c r="D45" s="157">
        <v>0.70833333333333337</v>
      </c>
      <c r="E45" s="157">
        <v>2.0833333333333332E-2</v>
      </c>
      <c r="F45" s="158">
        <f t="shared" si="1"/>
        <v>0.33333333333333337</v>
      </c>
      <c r="G45" s="159"/>
      <c r="H45" s="160">
        <f t="shared" si="2"/>
        <v>0.3125</v>
      </c>
      <c r="I45" s="161" cm="1">
        <f t="array" ref="I45">IF(AND(F45&gt;H45,OR(AND(OR($B45&lt;&gt;Ref!$A$7,$H$53&gt;0),OR($B45&lt;&gt;Ref!$A$8,$H$54&gt;0)),COUNT(SEARCH(Sonderarbeit,$N45))&gt;=1),ISNONTEXT(C45),C45&lt;&gt;""),F45-H45,"")</f>
        <v>2.083333333333337E-2</v>
      </c>
      <c r="J45" s="162" t="str" cm="1">
        <f t="array" ref="J45">IF(OR(AND(F45&lt;H45,OR(AND(OR($B45&lt;&gt;Ref!$A$7,$H$53&gt;0),OR($B45&lt;&gt;Ref!$A$8,$H$54&gt;0)),COUNT(SEARCH(Sonderarbeit,$N45))&gt;=1)),C45="Ausgleich"),H45-F45,"")</f>
        <v/>
      </c>
      <c r="K45" s="163" t="str">
        <f>IF(AND(B45=Ref!$A$8,SUM(I39:I45)&lt;SUM(J39:J45)),"-","")</f>
        <v/>
      </c>
      <c r="L45" s="167" t="str">
        <f>IF(B45=Ref!$A$8,ABS(SUM(I39:I45)-SUM(J39:J45)),"")</f>
        <v/>
      </c>
    </row>
    <row r="46" spans="1:14" ht="17.45" customHeight="1" x14ac:dyDescent="0.35">
      <c r="A46" s="155">
        <v>28</v>
      </c>
      <c r="B46" s="156" t="str">
        <f t="shared" si="0"/>
        <v>Samstag</v>
      </c>
      <c r="C46" s="157">
        <v>0.35416666666666669</v>
      </c>
      <c r="D46" s="157">
        <v>0.70833333333333337</v>
      </c>
      <c r="E46" s="157">
        <v>2.0833333333333332E-2</v>
      </c>
      <c r="F46" s="158">
        <f t="shared" si="1"/>
        <v>0.33333333333333337</v>
      </c>
      <c r="G46" s="159"/>
      <c r="H46" s="160">
        <f t="shared" si="2"/>
        <v>0</v>
      </c>
      <c r="I46" s="161" t="str" cm="1">
        <f t="array" ref="I46">IF(AND(F46&gt;H46,OR(AND(OR($B46&lt;&gt;Ref!$A$7,$H$53&gt;0),OR($B46&lt;&gt;Ref!$A$8,$H$54&gt;0)),COUNT(SEARCH(Sonderarbeit,$N46))&gt;=1),ISNONTEXT(C46),C46&lt;&gt;""),F46-H46,"")</f>
        <v/>
      </c>
      <c r="J46" s="162" t="str" cm="1">
        <f t="array" ref="J46">IF(OR(AND(F46&lt;H46,OR(AND(OR($B46&lt;&gt;Ref!$A$7,$H$53&gt;0),OR($B46&lt;&gt;Ref!$A$8,$H$54&gt;0)),COUNT(SEARCH(Sonderarbeit,$N46))&gt;=1)),C46="Ausgleich"),H46-F46,"")</f>
        <v/>
      </c>
      <c r="K46" s="255" t="str">
        <f ca="1">IF(SUM(INDIRECT("I"&amp;ROW()-WEEKDAY(DATE(J$11,MONTH(I$11),A46),3)):I46) &lt; SUM(INDIRECT("j"&amp;ROW()-WEEKDAY(DATE(J$11,MONTH(I$11),A46),3)):J46),"-","")</f>
        <v/>
      </c>
      <c r="L46" s="173">
        <f ca="1">ABS(SUM(INDIRECT("I"&amp;ROW()-WEEKDAY(DATE(J$11,MONTH(I$11),A46),3)):I46)-SUM(INDIRECT("j"&amp;ROW()-WEEKDAY(DATE(J$11,MONTH(I$11),A46))):J46))</f>
        <v>2.083333333333337E-2</v>
      </c>
      <c r="N46" s="100"/>
    </row>
    <row r="47" spans="1:14" s="183" customFormat="1" ht="17.45" customHeight="1" thickBot="1" x14ac:dyDescent="0.25">
      <c r="A47" s="175" t="str">
        <f>Jan!A50</f>
        <v>Sonstige Zeiten laut beigefügter Aufstellung (s. Anlage):</v>
      </c>
      <c r="B47" s="256"/>
      <c r="C47" s="257"/>
      <c r="D47" s="258"/>
      <c r="E47" s="258"/>
      <c r="F47" s="258"/>
      <c r="G47" s="258"/>
      <c r="H47" s="179"/>
      <c r="I47" s="259">
        <v>0</v>
      </c>
      <c r="J47" s="260">
        <v>0</v>
      </c>
      <c r="K47" s="261"/>
      <c r="L47" s="262"/>
      <c r="M47" s="99"/>
      <c r="N47" s="99"/>
    </row>
    <row r="48" spans="1:14" x14ac:dyDescent="0.2">
      <c r="A48" s="263" t="s">
        <v>3</v>
      </c>
      <c r="B48" s="263"/>
      <c r="C48" s="263"/>
      <c r="D48" s="263"/>
      <c r="H48" s="280">
        <f>Jan!H51</f>
        <v>0.33333333333333331</v>
      </c>
      <c r="I48" s="186">
        <f>SUM(I17:I47)</f>
        <v>0.5208333333333337</v>
      </c>
      <c r="J48" s="186">
        <f>SUM(J17:J47)</f>
        <v>0</v>
      </c>
      <c r="K48" s="187" t="str">
        <f ca="1">IF(SUMIF(K19:K46,"",L19:L46)&lt;SUMIF(K19:K46,"-",L19:L46),"-","")</f>
        <v/>
      </c>
      <c r="L48" s="188">
        <f ca="1">ABS(SUMIF(K19:K46,"",L19:L46)-SUMIF(K19:K46,"-",L19:L46))</f>
        <v>8.3333333333333481E-2</v>
      </c>
    </row>
    <row r="49" spans="1:12" ht="13.5" thickBot="1" x14ac:dyDescent="0.25">
      <c r="A49" s="189"/>
      <c r="B49" s="189"/>
      <c r="C49" s="189"/>
      <c r="D49" s="189"/>
      <c r="G49" s="190" t="s">
        <v>12</v>
      </c>
      <c r="H49" s="281">
        <f>Jan!H52</f>
        <v>0.33333333333333331</v>
      </c>
      <c r="I49" s="264"/>
      <c r="J49" s="264"/>
      <c r="K49" s="265"/>
      <c r="L49" s="194"/>
    </row>
    <row r="50" spans="1:12" x14ac:dyDescent="0.2">
      <c r="A50" s="189"/>
      <c r="B50" s="189"/>
      <c r="C50" s="189"/>
      <c r="D50" s="189"/>
      <c r="G50" s="195"/>
      <c r="H50" s="281">
        <f>Jan!H53</f>
        <v>0.33333333333333331</v>
      </c>
      <c r="I50" s="197">
        <f>IF(I48&gt;J48,I48-J48,0)</f>
        <v>0.5208333333333337</v>
      </c>
      <c r="J50" s="197" t="str">
        <f>IF(J48&gt;I48,J48-I48,"")</f>
        <v/>
      </c>
      <c r="K50" s="266"/>
      <c r="L50" s="267"/>
    </row>
    <row r="51" spans="1:12" ht="13.5" thickBot="1" x14ac:dyDescent="0.25">
      <c r="A51" s="199" t="s">
        <v>15</v>
      </c>
      <c r="B51" s="199"/>
      <c r="C51" s="199"/>
      <c r="D51" s="199"/>
      <c r="E51" s="200"/>
      <c r="F51" s="200"/>
      <c r="G51" s="190" t="s">
        <v>13</v>
      </c>
      <c r="H51" s="281">
        <f>Jan!H54</f>
        <v>0.33333333333333331</v>
      </c>
      <c r="I51" s="268"/>
      <c r="J51" s="268"/>
      <c r="K51" s="269"/>
      <c r="L51" s="270"/>
    </row>
    <row r="52" spans="1:12" ht="13.5" thickBot="1" x14ac:dyDescent="0.25">
      <c r="A52" s="203" t="s">
        <v>4</v>
      </c>
      <c r="B52" s="203"/>
      <c r="C52" s="203"/>
      <c r="D52" s="203"/>
      <c r="E52" s="200"/>
      <c r="F52" s="200"/>
      <c r="G52" s="200"/>
      <c r="H52" s="281">
        <f>Jan!H55</f>
        <v>0.3125</v>
      </c>
      <c r="I52" s="200"/>
      <c r="J52" s="200"/>
      <c r="K52" s="204"/>
      <c r="L52" s="204"/>
    </row>
    <row r="53" spans="1:12" ht="13.35" customHeight="1" x14ac:dyDescent="0.2">
      <c r="A53" s="189"/>
      <c r="B53" s="189"/>
      <c r="C53" s="189"/>
      <c r="D53" s="189"/>
      <c r="E53" s="271" t="str">
        <f>Jan!E56</f>
        <v xml:space="preserve"> </v>
      </c>
      <c r="F53" s="206"/>
      <c r="G53" s="207" t="str">
        <f>IF(E53=" ", " ", IF(Mantelbogen!D26=I11,Mantelbogen!C29,Jan!G58))</f>
        <v xml:space="preserve"> </v>
      </c>
      <c r="H53" s="282">
        <v>0</v>
      </c>
      <c r="I53" s="272" t="s">
        <v>144</v>
      </c>
      <c r="J53" s="273"/>
      <c r="K53" s="204"/>
      <c r="L53" s="204"/>
    </row>
    <row r="54" spans="1:12" ht="13.5" thickBot="1" x14ac:dyDescent="0.25">
      <c r="A54" s="189"/>
      <c r="B54" s="189"/>
      <c r="C54" s="189"/>
      <c r="D54" s="189"/>
      <c r="E54" s="271" t="str">
        <f>Jan!E57</f>
        <v xml:space="preserve"> </v>
      </c>
      <c r="F54" s="207"/>
      <c r="G54" s="207" t="str">
        <f>IF(E53=" ", " ", -COUNTIF(C19:C46, "Urlaub*" ))</f>
        <v xml:space="preserve"> </v>
      </c>
      <c r="H54" s="283">
        <v>0</v>
      </c>
      <c r="I54" s="274"/>
      <c r="J54" s="275"/>
      <c r="K54" s="204"/>
      <c r="L54" s="208"/>
    </row>
    <row r="55" spans="1:12" ht="24.6" customHeight="1" thickBot="1" x14ac:dyDescent="0.25">
      <c r="A55" s="199" t="s">
        <v>10</v>
      </c>
      <c r="B55" s="199"/>
      <c r="C55" s="199"/>
      <c r="D55" s="199"/>
      <c r="E55" s="276" t="str">
        <f>Jan!E58</f>
        <v xml:space="preserve"> </v>
      </c>
      <c r="F55" s="277"/>
      <c r="G55" s="211" t="str">
        <f>IF(E53=" ", " ", IF(Mantelbogen!C29 &gt; 0.0001, G53+G54, 0))</f>
        <v xml:space="preserve"> </v>
      </c>
      <c r="H55" s="284">
        <f>SUM(H48:H54)</f>
        <v>1.6458333333333333</v>
      </c>
      <c r="I55" s="278"/>
      <c r="J55" s="279"/>
      <c r="L55" s="212" t="str">
        <f>Mantelbogen!D50</f>
        <v>15.12.2025  HAdW / G. Wolff</v>
      </c>
    </row>
    <row r="57" spans="1:12" x14ac:dyDescent="0.2">
      <c r="G57" s="214"/>
      <c r="H57" s="214"/>
      <c r="I57" s="214"/>
      <c r="J57" s="207"/>
    </row>
    <row r="58" spans="1:12" x14ac:dyDescent="0.2">
      <c r="G58" s="207"/>
      <c r="H58" s="207"/>
      <c r="I58" s="207"/>
      <c r="J58" s="207"/>
    </row>
    <row r="59" spans="1:12" x14ac:dyDescent="0.2">
      <c r="G59" s="207"/>
      <c r="H59" s="207"/>
    </row>
  </sheetData>
  <sheetProtection algorithmName="SHA-512" hashValue="VXJmsbOFsk5uZ2TeU6Y4Xktq3IQVnml2W5lPNJoNxvL4eV8ElrIPgJk1BVKd+Vai/TFwDiM4alp4iDRaNxzX1Q==" saltValue="EiAniUDLkF93OiF3pQk7tw==" spinCount="100000" sheet="1" objects="1" scenarios="1"/>
  <mergeCells count="62">
    <mergeCell ref="K50:K51"/>
    <mergeCell ref="L50:L51"/>
    <mergeCell ref="I50:I51"/>
    <mergeCell ref="A48:D48"/>
    <mergeCell ref="I48:I49"/>
    <mergeCell ref="J48:J49"/>
    <mergeCell ref="A49:D50"/>
    <mergeCell ref="A51:D51"/>
    <mergeCell ref="F44:G44"/>
    <mergeCell ref="F45:G45"/>
    <mergeCell ref="F46:G46"/>
    <mergeCell ref="J50:J51"/>
    <mergeCell ref="F30:G30"/>
    <mergeCell ref="F31:G31"/>
    <mergeCell ref="G57:I57"/>
    <mergeCell ref="A52:D52"/>
    <mergeCell ref="A53:D54"/>
    <mergeCell ref="I53:J55"/>
    <mergeCell ref="A55:D55"/>
    <mergeCell ref="F27:G27"/>
    <mergeCell ref="F28:G28"/>
    <mergeCell ref="F43:G43"/>
    <mergeCell ref="F32:G32"/>
    <mergeCell ref="F33:G33"/>
    <mergeCell ref="F34:G34"/>
    <mergeCell ref="F35:G35"/>
    <mergeCell ref="F36:G36"/>
    <mergeCell ref="F37:G37"/>
    <mergeCell ref="F38:G38"/>
    <mergeCell ref="F39:G39"/>
    <mergeCell ref="F40:G40"/>
    <mergeCell ref="F41:G41"/>
    <mergeCell ref="F42:G42"/>
    <mergeCell ref="G1:J7"/>
    <mergeCell ref="I15:J15"/>
    <mergeCell ref="I17:I18"/>
    <mergeCell ref="J17:J18"/>
    <mergeCell ref="F15:G18"/>
    <mergeCell ref="H15:H18"/>
    <mergeCell ref="A1:F2"/>
    <mergeCell ref="A3:F3"/>
    <mergeCell ref="A4:F6"/>
    <mergeCell ref="A11:B11"/>
    <mergeCell ref="A13:B13"/>
    <mergeCell ref="A15:A18"/>
    <mergeCell ref="E15:E18"/>
    <mergeCell ref="K15:L16"/>
    <mergeCell ref="K17:L18"/>
    <mergeCell ref="K48:K49"/>
    <mergeCell ref="L48:L49"/>
    <mergeCell ref="B15:B18"/>
    <mergeCell ref="C15:C18"/>
    <mergeCell ref="D15:D18"/>
    <mergeCell ref="F24:G24"/>
    <mergeCell ref="F25:G25"/>
    <mergeCell ref="F20:G20"/>
    <mergeCell ref="F19:G19"/>
    <mergeCell ref="F22:G22"/>
    <mergeCell ref="F23:G23"/>
    <mergeCell ref="F21:G21"/>
    <mergeCell ref="F26:G26"/>
    <mergeCell ref="F29:G29"/>
  </mergeCells>
  <phoneticPr fontId="0" type="noConversion"/>
  <conditionalFormatting sqref="A19:A46 C19:L46">
    <cfRule type="expression" dxfId="128" priority="1">
      <formula>COUNT(SEARCH(Sonderarbeit,$N19))&gt;=1</formula>
    </cfRule>
  </conditionalFormatting>
  <conditionalFormatting sqref="A19:L46">
    <cfRule type="expression" dxfId="120" priority="35">
      <formula>AND(ISTEXT($C19),$C19&lt;&gt;"Kinderkrankentag",$C19&lt;&gt;"Urlaub",$C19&lt;&gt;"Krank",$C19&lt;&gt;"Ausgleich")</formula>
    </cfRule>
  </conditionalFormatting>
  <conditionalFormatting sqref="C19:C46">
    <cfRule type="expression" dxfId="127" priority="37">
      <formula>ISTEXT($C19)</formula>
    </cfRule>
  </conditionalFormatting>
  <conditionalFormatting sqref="D19:H46">
    <cfRule type="expression" dxfId="124" priority="17">
      <formula>AND(ISTEXT($C19),OR($C19="Kinderkrankentag",$C19="Urlaub",$C19="Krank",$C19="Ausgleich"))</formula>
    </cfRule>
  </conditionalFormatting>
  <conditionalFormatting sqref="D19:J46">
    <cfRule type="expression" dxfId="121" priority="10">
      <formula>AND(ISTEXT($C19),$C19&lt;&gt;"Kinderkrankentag",$C19&lt;&gt;"Urlaub",$C19&lt;&gt;"Krank",$C19&lt;&gt;"Ausgleich")</formula>
    </cfRule>
  </conditionalFormatting>
  <conditionalFormatting sqref="F19:F46">
    <cfRule type="expression" dxfId="122" priority="64">
      <formula>AND(ISNONTEXT($C19),$F19 &gt; 0.666667)</formula>
    </cfRule>
  </conditionalFormatting>
  <dataValidations count="1">
    <dataValidation type="custom" errorStyle="warning" allowBlank="1" showErrorMessage="1" errorTitle="Samstagsarbeit" error="Tragen Sie hier bitte nur etwas ein, wenn Sie tatsächlich REGELMÄßIG und angeordnet Samstag arbeiten. Ansonsten tragen Sie bitte am entsprechenden Tag in Spalte N „Samstagsarbeit“ ein und der entsprechende Tag wird verfügbar." promptTitle="Samstagsarbeit" prompt="Tragen Sie hier bitte nur etwas ein, wenn Sie tatsächlich REGELMÄßIG und angeordnet Samstag arbeiten. Ansonsten tragen Sie bitte am entsprechenden Tag in Spalte N „Samstagsarbeit“ ein und der entsprechende Tag wird verfügbar." sqref="H53" xr:uid="{9D4F6DA1-C025-46B0-8C7C-F8174E86271C}">
      <formula1>$A$4="Arbeitszeitblatt"</formula1>
    </dataValidation>
  </dataValidations>
  <printOptions horizontalCentered="1" verticalCentered="1"/>
  <pageMargins left="1.0236220472440944" right="0.23622047244094491" top="0.23622047244094491" bottom="0.19685039370078741" header="0.15748031496062992" footer="0.15748031496062992"/>
  <pageSetup paperSize="9" scale="81" orientation="portrait" horizontalDpi="1200" verticalDpi="1200"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6" id="{585F06B8-0767-4B56-9EC8-172FED4E2F41}">
            <xm:f>OR(AND($B19=Ref!$A$7,$H$53=0), AND($B19=Ref!$A$8,$H$54=0), NOT( ISERROR(FIND("feiertag",LOWER($C19)) ) ) )</xm:f>
            <x14:dxf>
              <fill>
                <patternFill patternType="solid">
                  <bgColor theme="4" tint="0.79998168889431442"/>
                </patternFill>
              </fill>
            </x14:dxf>
          </x14:cfRule>
          <xm:sqref>A19:L46</xm:sqref>
        </x14:conditionalFormatting>
        <x14:conditionalFormatting xmlns:xm="http://schemas.microsoft.com/office/excel/2006/main">
          <x14:cfRule type="expression" priority="42" id="{13070C8E-99F4-48FC-B5A9-D49FCAA64FD2}">
            <xm:f>OR(AND($B19=Ref!$A$7, $H$53&lt;0.00001),AND($B19=Ref!$A$8, $H$54&lt;0.00001))</xm:f>
            <x14:dxf>
              <font>
                <color theme="4" tint="0.79998168889431442"/>
              </font>
              <fill>
                <patternFill>
                  <bgColor theme="4" tint="0.79998168889431442"/>
                </patternFill>
              </fill>
            </x14:dxf>
          </x14:cfRule>
          <x14:cfRule type="expression" priority="61" id="{4BC7E9AB-F710-4563-B697-E1A099552ECB}">
            <xm:f>AND($B19=Ref!$A$7, $H$53&gt;0.00001)</xm:f>
            <x14:dxf>
              <font>
                <b val="0"/>
                <i val="0"/>
                <color theme="1"/>
              </font>
            </x14:dxf>
          </x14:cfRule>
          <x14:cfRule type="expression" priority="63" id="{809170C6-89BC-40A1-AAB0-35104D160183}">
            <xm:f>AND($B19=Ref!$A$8, $H$54&gt;0.00001)</xm:f>
            <x14:dxf>
              <font>
                <b val="0"/>
                <i val="0"/>
              </font>
            </x14:dxf>
          </x14:cfRule>
          <xm:sqref>C19:H46</xm:sqref>
        </x14:conditionalFormatting>
        <x14:conditionalFormatting xmlns:xm="http://schemas.microsoft.com/office/excel/2006/main">
          <x14:cfRule type="expression" priority="8" id="{4A5F1B89-6C9B-4E08-93AE-63DF70E6B754}">
            <xm:f>AND(OR(AND($F19 &gt; 0.250001, $E19 &lt; 0.020833332), AND($F19 &gt; 0.375, $E19 &lt; 0.03124999)  ),OR(AND($B19&lt;&gt;Ref!$A$7, $B19&lt;&gt;Ref!$A$8),COUNT(SEARCH(Sonderarbeit,$N19))&gt;=1),ISNUMBER($C19))</xm:f>
            <x14:dxf>
              <fill>
                <patternFill>
                  <bgColor rgb="FFFF0000"/>
                </patternFill>
              </fill>
            </x14:dxf>
          </x14:cfRule>
          <xm:sqref>E19:E46</xm:sqref>
        </x14:conditionalFormatting>
      </x14:conditionalFormattings>
    </ext>
    <ext xmlns:x14="http://schemas.microsoft.com/office/spreadsheetml/2009/9/main" uri="{CCE6A557-97BC-4b89-ADB6-D9C93CAAB3DF}">
      <x14:dataValidations xmlns:xm="http://schemas.microsoft.com/office/excel/2006/main" count="1">
        <x14:dataValidation type="custom" errorStyle="information" allowBlank="1" showInputMessage="1" showErrorMessage="1" errorTitle="Samstagsarbeit" error="Tragen Sie hier bitte nur die tasächlich angefallene Arbeit ein. Tragen Sie ggf. anfallende Zuschläge auf ein separates Tabellenblatt ein und übertragen diese in das Kästchen I48." xr:uid="{2DADD024-5C04-4543-A51C-98BAAECFB712}">
          <x14:formula1>
            <xm:f>NOT(OFFSET(C19,0,2-COLUMN(C19))=Ref!$A$7)</xm:f>
          </x14:formula1>
          <xm:sqref>C19:E46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pageSetUpPr fitToPage="1"/>
  </sheetPr>
  <dimension ref="A1:N60"/>
  <sheetViews>
    <sheetView zoomScaleNormal="100" workbookViewId="0">
      <selection sqref="A1:F2"/>
    </sheetView>
  </sheetViews>
  <sheetFormatPr defaultColWidth="11.5703125" defaultRowHeight="12.75" x14ac:dyDescent="0.2"/>
  <cols>
    <col min="1" max="1" width="5.5703125" style="125" customWidth="1"/>
    <col min="2" max="2" width="9.85546875" style="102" bestFit="1" customWidth="1"/>
    <col min="3" max="3" width="15.7109375" style="102" bestFit="1" customWidth="1"/>
    <col min="4" max="4" width="13.7109375" style="102" bestFit="1" customWidth="1"/>
    <col min="5" max="5" width="11.28515625" style="98" customWidth="1"/>
    <col min="6" max="6" width="7.85546875" style="98" customWidth="1"/>
    <col min="7" max="7" width="3.5703125" style="98" customWidth="1"/>
    <col min="8" max="8" width="14.140625" style="98" bestFit="1" customWidth="1"/>
    <col min="9" max="9" width="11" style="98" bestFit="1" customWidth="1"/>
    <col min="10" max="10" width="12.140625" style="98" bestFit="1" customWidth="1"/>
    <col min="11" max="11" width="2.85546875" style="98" customWidth="1"/>
    <col min="12" max="12" width="8.85546875" style="98" customWidth="1"/>
    <col min="13" max="13" width="16.42578125" style="99" customWidth="1"/>
    <col min="14" max="14" width="19.42578125" style="100" bestFit="1" customWidth="1"/>
    <col min="15" max="16384" width="11.5703125" style="98"/>
  </cols>
  <sheetData>
    <row r="1" spans="1:14" ht="15" customHeight="1" x14ac:dyDescent="0.2">
      <c r="A1" s="215" t="s">
        <v>48</v>
      </c>
      <c r="B1" s="215"/>
      <c r="C1" s="215"/>
      <c r="D1" s="215"/>
      <c r="E1" s="215"/>
      <c r="F1" s="215"/>
      <c r="G1" s="97" t="s">
        <v>9</v>
      </c>
      <c r="H1" s="97"/>
      <c r="I1" s="97"/>
      <c r="J1" s="97"/>
    </row>
    <row r="2" spans="1:14" ht="15" customHeight="1" x14ac:dyDescent="0.2">
      <c r="A2" s="215"/>
      <c r="B2" s="215"/>
      <c r="C2" s="215"/>
      <c r="D2" s="215"/>
      <c r="E2" s="215"/>
      <c r="F2" s="215"/>
      <c r="G2" s="97"/>
      <c r="H2" s="97"/>
      <c r="I2" s="97"/>
      <c r="J2" s="97"/>
    </row>
    <row r="3" spans="1:14" x14ac:dyDescent="0.2">
      <c r="A3" s="216" t="s">
        <v>11</v>
      </c>
      <c r="B3" s="216"/>
      <c r="C3" s="216"/>
      <c r="D3" s="216"/>
      <c r="E3" s="216"/>
      <c r="F3" s="216"/>
      <c r="G3" s="97"/>
      <c r="H3" s="97"/>
      <c r="I3" s="97"/>
      <c r="J3" s="97"/>
    </row>
    <row r="4" spans="1:14" ht="13.35" customHeight="1" x14ac:dyDescent="0.2">
      <c r="A4" s="217" t="s">
        <v>5</v>
      </c>
      <c r="B4" s="217"/>
      <c r="C4" s="217"/>
      <c r="D4" s="217"/>
      <c r="E4" s="217"/>
      <c r="F4" s="217"/>
      <c r="G4" s="97"/>
      <c r="H4" s="97"/>
      <c r="I4" s="97"/>
      <c r="J4" s="97"/>
    </row>
    <row r="5" spans="1:14" ht="6" customHeight="1" x14ac:dyDescent="0.2">
      <c r="A5" s="217"/>
      <c r="B5" s="217"/>
      <c r="C5" s="217"/>
      <c r="D5" s="217"/>
      <c r="E5" s="217"/>
      <c r="F5" s="217"/>
      <c r="G5" s="97"/>
      <c r="H5" s="97"/>
      <c r="I5" s="97"/>
      <c r="J5" s="97"/>
    </row>
    <row r="6" spans="1:14" ht="13.35" customHeight="1" x14ac:dyDescent="0.2">
      <c r="A6" s="217"/>
      <c r="B6" s="217"/>
      <c r="C6" s="217"/>
      <c r="D6" s="217"/>
      <c r="E6" s="217"/>
      <c r="F6" s="217"/>
      <c r="G6" s="97"/>
      <c r="H6" s="97"/>
      <c r="I6" s="97"/>
      <c r="J6" s="97"/>
    </row>
    <row r="7" spans="1:14" ht="13.35" customHeight="1" x14ac:dyDescent="0.2">
      <c r="A7" s="102"/>
      <c r="B7" s="101"/>
      <c r="C7" s="101"/>
      <c r="D7" s="101"/>
      <c r="E7" s="101"/>
      <c r="F7" s="101"/>
      <c r="G7" s="97"/>
      <c r="H7" s="97"/>
      <c r="I7" s="97"/>
      <c r="J7" s="97"/>
    </row>
    <row r="8" spans="1:14" ht="6" customHeight="1" thickBot="1" x14ac:dyDescent="0.25">
      <c r="A8" s="103"/>
      <c r="B8" s="104"/>
      <c r="C8" s="104"/>
      <c r="D8" s="104"/>
      <c r="E8" s="105"/>
      <c r="F8" s="105"/>
      <c r="G8" s="105"/>
      <c r="H8" s="105"/>
      <c r="I8" s="106"/>
      <c r="J8" s="106"/>
      <c r="K8" s="107"/>
      <c r="L8" s="108"/>
    </row>
    <row r="9" spans="1:14" ht="6" customHeight="1" x14ac:dyDescent="0.2">
      <c r="A9" s="109"/>
      <c r="B9" s="110"/>
      <c r="C9" s="110"/>
      <c r="D9" s="110"/>
      <c r="E9" s="111"/>
      <c r="F9" s="111"/>
      <c r="G9" s="111"/>
      <c r="H9" s="111"/>
      <c r="I9" s="112"/>
      <c r="J9" s="112"/>
      <c r="K9" s="113"/>
      <c r="L9" s="114"/>
    </row>
    <row r="10" spans="1:14" x14ac:dyDescent="0.2">
      <c r="A10" s="109"/>
      <c r="B10" s="110"/>
      <c r="C10" s="110"/>
      <c r="D10" s="110"/>
      <c r="E10" s="111"/>
      <c r="F10" s="111"/>
      <c r="G10" s="111"/>
      <c r="I10" s="112"/>
      <c r="J10" s="112"/>
      <c r="K10" s="113"/>
      <c r="L10" s="114"/>
    </row>
    <row r="11" spans="1:14" x14ac:dyDescent="0.2">
      <c r="A11" s="115" t="s">
        <v>6</v>
      </c>
      <c r="B11" s="115"/>
      <c r="C11" s="116" t="str">
        <f>Feb!C11</f>
        <v>ATHENE, Pallas</v>
      </c>
      <c r="D11" s="117"/>
      <c r="E11" s="118"/>
      <c r="F11" s="119"/>
      <c r="G11" s="119" t="s">
        <v>8</v>
      </c>
      <c r="H11" s="120"/>
      <c r="I11" s="121">
        <f>DATE(J11,3,1)</f>
        <v>46082</v>
      </c>
      <c r="J11" s="122">
        <f>Jan!J11</f>
        <v>2026</v>
      </c>
      <c r="K11" s="123"/>
      <c r="L11" s="124"/>
    </row>
    <row r="12" spans="1:14" x14ac:dyDescent="0.2">
      <c r="B12" s="114"/>
      <c r="C12" s="126"/>
      <c r="D12" s="127"/>
      <c r="E12" s="119"/>
      <c r="F12" s="119"/>
      <c r="G12" s="111"/>
      <c r="I12" s="112"/>
      <c r="J12" s="128"/>
      <c r="K12" s="113"/>
      <c r="L12" s="114"/>
    </row>
    <row r="13" spans="1:14" x14ac:dyDescent="0.2">
      <c r="A13" s="115" t="s">
        <v>7</v>
      </c>
      <c r="B13" s="115"/>
      <c r="C13" s="129" t="str">
        <f>Feb!C13</f>
        <v>Geschäftsstelle</v>
      </c>
      <c r="D13" s="130"/>
      <c r="E13" s="118"/>
      <c r="F13" s="131"/>
      <c r="G13" s="131"/>
      <c r="H13" s="120"/>
      <c r="I13" s="117"/>
      <c r="J13" s="118"/>
      <c r="K13" s="123"/>
      <c r="L13" s="124"/>
    </row>
    <row r="14" spans="1:14" ht="13.5" thickBot="1" x14ac:dyDescent="0.25">
      <c r="K14" s="113"/>
      <c r="L14" s="114"/>
    </row>
    <row r="15" spans="1:14" ht="13.35" customHeight="1" x14ac:dyDescent="0.2">
      <c r="A15" s="132"/>
      <c r="B15" s="132" t="s">
        <v>14</v>
      </c>
      <c r="C15" s="132" t="s">
        <v>110</v>
      </c>
      <c r="D15" s="132" t="s">
        <v>145</v>
      </c>
      <c r="E15" s="132" t="s">
        <v>16</v>
      </c>
      <c r="F15" s="133" t="s">
        <v>42</v>
      </c>
      <c r="G15" s="133"/>
      <c r="H15" s="134" t="s">
        <v>43</v>
      </c>
      <c r="I15" s="135" t="s">
        <v>0</v>
      </c>
      <c r="J15" s="136"/>
      <c r="K15" s="137" t="s">
        <v>41</v>
      </c>
      <c r="L15" s="138"/>
      <c r="M15" s="139"/>
      <c r="N15" s="140"/>
    </row>
    <row r="16" spans="1:14" ht="13.5" thickBot="1" x14ac:dyDescent="0.25">
      <c r="A16" s="132"/>
      <c r="B16" s="132"/>
      <c r="C16" s="132"/>
      <c r="D16" s="132"/>
      <c r="E16" s="132"/>
      <c r="F16" s="133"/>
      <c r="G16" s="133"/>
      <c r="H16" s="141"/>
      <c r="I16" s="142" t="s">
        <v>1</v>
      </c>
      <c r="J16" s="143" t="s">
        <v>2</v>
      </c>
      <c r="K16" s="144"/>
      <c r="L16" s="145"/>
      <c r="M16" s="139"/>
      <c r="N16" s="146" t="str">
        <f>IF($I$17/$H$58 &gt; 1, CONCATENATE("Noch ",TEXT(($I$17-$H$58)*24,"#,0")), "" )</f>
        <v/>
      </c>
    </row>
    <row r="17" spans="1:14" ht="13.5" thickBot="1" x14ac:dyDescent="0.25">
      <c r="A17" s="132"/>
      <c r="B17" s="132"/>
      <c r="C17" s="132"/>
      <c r="D17" s="132"/>
      <c r="E17" s="132"/>
      <c r="F17" s="133"/>
      <c r="G17" s="133"/>
      <c r="H17" s="141"/>
      <c r="I17" s="147">
        <f>IF(Mantelbogen!D26=I11,Mantelbogen!C28,Feb!I50)</f>
        <v>0.5208333333333337</v>
      </c>
      <c r="J17" s="148" t="str">
        <f>IF(Mantelbogen!D26=I11,Mantelbogen!D28,Feb!J50)</f>
        <v/>
      </c>
      <c r="K17" s="149" t="str">
        <f>IF(I17/H58 &gt; 1, I17/H58, " " )</f>
        <v xml:space="preserve"> </v>
      </c>
      <c r="L17" s="150"/>
      <c r="N17" s="151" t="str">
        <f>IF($I$17/$H$58 &gt; 1, "Überstunden", " " )</f>
        <v xml:space="preserve"> </v>
      </c>
    </row>
    <row r="18" spans="1:14" ht="13.5" thickBot="1" x14ac:dyDescent="0.25">
      <c r="A18" s="132"/>
      <c r="B18" s="132"/>
      <c r="C18" s="132"/>
      <c r="D18" s="132"/>
      <c r="E18" s="132"/>
      <c r="F18" s="133"/>
      <c r="G18" s="133"/>
      <c r="H18" s="152"/>
      <c r="I18" s="147"/>
      <c r="J18" s="148"/>
      <c r="K18" s="153"/>
      <c r="L18" s="154"/>
      <c r="N18" s="151" t="str">
        <f>IF($I$17/$H$58 &gt; 1, "bis 01.04. abzubauen !", " " )</f>
        <v xml:space="preserve"> </v>
      </c>
    </row>
    <row r="19" spans="1:14" ht="17.45" customHeight="1" x14ac:dyDescent="0.35">
      <c r="A19" s="155">
        <v>1</v>
      </c>
      <c r="B19" s="156" t="str">
        <f>TEXT(DATE(J$11,MONTH(I$11),A19),Textcode)</f>
        <v>Sonntag</v>
      </c>
      <c r="C19" s="157">
        <v>0.35416666666666669</v>
      </c>
      <c r="D19" s="157">
        <v>0.70833333333333337</v>
      </c>
      <c r="E19" s="157">
        <v>2.0833333333333332E-2</v>
      </c>
      <c r="F19" s="158">
        <f>IF(ISTEXT(C19),,D19-C19-E19)</f>
        <v>0.33333333333333337</v>
      </c>
      <c r="G19" s="159"/>
      <c r="H19" s="160">
        <f t="shared" ref="H19:H23" si="0">IF(AND(ISTEXT(C19),ISERR(SEARCH("ausgleich",C19,1))),,INDEX(H$51:H$58,WEEKDAY(DATE(J$11,MONTH(I$11),A19),2),1,1))</f>
        <v>0</v>
      </c>
      <c r="I19" s="161" t="str" cm="1">
        <f t="array" ref="I19">IF(AND(F19&gt;H19,OR(AND(OR($B19&lt;&gt;Ref!$A$7,$H$56&gt;0),OR($B19&lt;&gt;Ref!$A$8,$H$57&gt;0)),COUNT(SEARCH(Sonderarbeit,$N19))&gt;=1),ISNONTEXT(C19),C19&lt;&gt;""),F19-H19,"")</f>
        <v/>
      </c>
      <c r="J19" s="162" t="str" cm="1">
        <f t="array" ref="J19">IF(OR(AND(F19&lt;H19,OR(AND(OR($B19&lt;&gt;Ref!$A$7,$H$56&gt;0),OR($B19&lt;&gt;Ref!$A$8,$H$57&gt;0)),COUNT(SEARCH(Sonderarbeit,$N19))&gt;=1)),C19="Ausgleich"),H19-F19,"")</f>
        <v/>
      </c>
      <c r="K19" s="163" t="str">
        <f>IF(AND(B19=Ref!$A$8,SUM(I19:I19)&lt;SUM(J19:J19)),"-","")</f>
        <v/>
      </c>
      <c r="L19" s="164">
        <f>IF(B19=Ref!$A$8,ABS(SUM(I19:I19)-SUM(J19:J19)),"")</f>
        <v>0</v>
      </c>
      <c r="N19" s="165"/>
    </row>
    <row r="20" spans="1:14" ht="17.45" customHeight="1" x14ac:dyDescent="0.35">
      <c r="A20" s="155">
        <v>2</v>
      </c>
      <c r="B20" s="156" t="str">
        <f t="shared" ref="B20:B49" si="1">TEXT(DATE(J$11,MONTH(I$11),A20),Textcode)</f>
        <v>Montag</v>
      </c>
      <c r="C20" s="157">
        <v>0.35416666666666669</v>
      </c>
      <c r="D20" s="157">
        <v>0.70833333333333337</v>
      </c>
      <c r="E20" s="157">
        <v>2.0833333333333332E-2</v>
      </c>
      <c r="F20" s="158">
        <f>IF(ISTEXT(C20),,D20-C20-E20)</f>
        <v>0.33333333333333337</v>
      </c>
      <c r="G20" s="159"/>
      <c r="H20" s="160">
        <f t="shared" si="0"/>
        <v>0.33333333333333331</v>
      </c>
      <c r="I20" s="161" t="str" cm="1">
        <f t="array" ref="I20">IF(AND(F20&gt;H20,OR(AND(OR($B20&lt;&gt;Ref!$A$7,$H$56&gt;0),OR($B20&lt;&gt;Ref!$A$8,$H$57&gt;0)),COUNT(SEARCH(Sonderarbeit,$N20))&gt;=1),ISNONTEXT(C20),C20&lt;&gt;""),F20-H20,"")</f>
        <v/>
      </c>
      <c r="J20" s="162" t="str" cm="1">
        <f t="array" ref="J20">IF(OR(AND(F20&lt;H20,OR(AND(OR($B20&lt;&gt;Ref!$A$7,$H$56&gt;0),OR($B20&lt;&gt;Ref!$A$8,$H$57&gt;0)),COUNT(SEARCH(Sonderarbeit,$N20))&gt;=1)),C20="Ausgleich"),H20-F20,"")</f>
        <v/>
      </c>
      <c r="K20" s="166" t="str">
        <f>IF(AND(B20=Ref!$A$8,SUM(I19:I20)&lt;SUM(J19:J20)),"-","")</f>
        <v/>
      </c>
      <c r="L20" s="167" t="str">
        <f>IF(B20=Ref!$A$8,ABS(SUM(I19:I20)-SUM(J19:J20)),"")</f>
        <v/>
      </c>
    </row>
    <row r="21" spans="1:14" ht="17.45" customHeight="1" x14ac:dyDescent="0.35">
      <c r="A21" s="155">
        <v>3</v>
      </c>
      <c r="B21" s="156" t="str">
        <f t="shared" si="1"/>
        <v>Dienstag</v>
      </c>
      <c r="C21" s="157">
        <v>0.35416666666666669</v>
      </c>
      <c r="D21" s="157">
        <v>0.70833333333333337</v>
      </c>
      <c r="E21" s="157">
        <v>2.0833333333333332E-2</v>
      </c>
      <c r="F21" s="158">
        <f>IF(ISTEXT(C21),,D21-C21-E21)</f>
        <v>0.33333333333333337</v>
      </c>
      <c r="G21" s="159"/>
      <c r="H21" s="160">
        <f t="shared" si="0"/>
        <v>0.33333333333333331</v>
      </c>
      <c r="I21" s="161" t="str" cm="1">
        <f t="array" ref="I21">IF(AND(F21&gt;H21,OR(AND(OR($B21&lt;&gt;Ref!$A$7,$H$56&gt;0),OR($B21&lt;&gt;Ref!$A$8,$H$57&gt;0)),COUNT(SEARCH(Sonderarbeit,$N21))&gt;=1),ISNONTEXT(C21),C21&lt;&gt;""),F21-H21,"")</f>
        <v/>
      </c>
      <c r="J21" s="162" t="str" cm="1">
        <f t="array" ref="J21">IF(OR(AND(F21&lt;H21,OR(AND(OR($B21&lt;&gt;Ref!$A$7,$H$56&gt;0),OR($B21&lt;&gt;Ref!$A$8,$H$57&gt;0)),COUNT(SEARCH(Sonderarbeit,$N21))&gt;=1)),C21="Ausgleich"),H21-F21,"")</f>
        <v/>
      </c>
      <c r="K21" s="166" t="str">
        <f>IF(AND(B21=Ref!$A$8,SUM(I19:I21)&lt;SUM(J19:J21)),"-","")</f>
        <v/>
      </c>
      <c r="L21" s="167" t="str">
        <f>IF(B21=Ref!$A$8,ABS(SUM(I19:I21)-SUM(J19:J21)),"")</f>
        <v/>
      </c>
    </row>
    <row r="22" spans="1:14" ht="17.45" customHeight="1" x14ac:dyDescent="0.35">
      <c r="A22" s="168">
        <v>4</v>
      </c>
      <c r="B22" s="156" t="str">
        <f t="shared" si="1"/>
        <v>Mittwoch</v>
      </c>
      <c r="C22" s="157">
        <v>0.35416666666666669</v>
      </c>
      <c r="D22" s="157">
        <v>0.70833333333333337</v>
      </c>
      <c r="E22" s="157">
        <v>2.0833333333333332E-2</v>
      </c>
      <c r="F22" s="158">
        <f>IF(ISTEXT(C22),,D22-C22-E22)</f>
        <v>0.33333333333333337</v>
      </c>
      <c r="G22" s="159"/>
      <c r="H22" s="160">
        <f t="shared" si="0"/>
        <v>0.33333333333333331</v>
      </c>
      <c r="I22" s="161" t="str" cm="1">
        <f t="array" ref="I22">IF(AND(F22&gt;H22,OR(AND(OR($B22&lt;&gt;Ref!$A$7,$H$56&gt;0),OR($B22&lt;&gt;Ref!$A$8,$H$57&gt;0)),COUNT(SEARCH(Sonderarbeit,$N22))&gt;=1),ISNONTEXT(C22),C22&lt;&gt;""),F22-H22,"")</f>
        <v/>
      </c>
      <c r="J22" s="162" t="str" cm="1">
        <f t="array" ref="J22">IF(OR(AND(F22&lt;H22,OR(AND(OR($B22&lt;&gt;Ref!$A$7,$H$56&gt;0),OR($B22&lt;&gt;Ref!$A$8,$H$57&gt;0)),COUNT(SEARCH(Sonderarbeit,$N22))&gt;=1)),C22="Ausgleich"),H22-F22,"")</f>
        <v/>
      </c>
      <c r="K22" s="166" t="str">
        <f>IF(AND(B22=Ref!$A$8,SUM(I19:I22)&lt;SUM(J19:J22)),"-","")</f>
        <v/>
      </c>
      <c r="L22" s="167" t="str">
        <f>IF(B22=Ref!$A$8,ABS(SUM(I19:I22)-SUM(J19:J22)),"")</f>
        <v/>
      </c>
      <c r="N22" s="169"/>
    </row>
    <row r="23" spans="1:14" ht="17.45" customHeight="1" x14ac:dyDescent="0.35">
      <c r="A23" s="168">
        <v>5</v>
      </c>
      <c r="B23" s="156" t="str">
        <f t="shared" si="1"/>
        <v>Donnerstag</v>
      </c>
      <c r="C23" s="157">
        <v>0.35416666666666669</v>
      </c>
      <c r="D23" s="157">
        <v>0.70833333333333337</v>
      </c>
      <c r="E23" s="157">
        <v>2.0833333333333332E-2</v>
      </c>
      <c r="F23" s="158">
        <f>IF(ISTEXT(C23),,D23-C23-E23)</f>
        <v>0.33333333333333337</v>
      </c>
      <c r="G23" s="159"/>
      <c r="H23" s="160">
        <f t="shared" si="0"/>
        <v>0.33333333333333331</v>
      </c>
      <c r="I23" s="161" t="str" cm="1">
        <f t="array" ref="I23">IF(AND(F23&gt;H23,OR(AND(OR($B23&lt;&gt;Ref!$A$7,$H$56&gt;0),OR($B23&lt;&gt;Ref!$A$8,$H$57&gt;0)),COUNT(SEARCH(Sonderarbeit,$N23))&gt;=1),ISNONTEXT(C23),C23&lt;&gt;""),F23-H23,"")</f>
        <v/>
      </c>
      <c r="J23" s="162" t="str" cm="1">
        <f t="array" ref="J23">IF(OR(AND(F23&lt;H23,OR(AND(OR($B23&lt;&gt;Ref!$A$7,$H$56&gt;0),OR($B23&lt;&gt;Ref!$A$8,$H$57&gt;0)),COUNT(SEARCH(Sonderarbeit,$N23))&gt;=1)),C23="Ausgleich"),H23-F23,"")</f>
        <v/>
      </c>
      <c r="K23" s="166" t="str">
        <f>IF(AND(B23=Ref!$A$8,SUM(I19:I23)&lt;SUM(J19:J23)),"-","")</f>
        <v/>
      </c>
      <c r="L23" s="167" t="str">
        <f>IF(B23=Ref!$A$8,ABS(SUM(I19:I23)-SUM(J19:J23)),"")</f>
        <v/>
      </c>
    </row>
    <row r="24" spans="1:14" ht="17.45" customHeight="1" x14ac:dyDescent="0.35">
      <c r="A24" s="155">
        <v>6</v>
      </c>
      <c r="B24" s="156" t="str">
        <f t="shared" si="1"/>
        <v>Freitag</v>
      </c>
      <c r="C24" s="157">
        <v>0.35416666666666669</v>
      </c>
      <c r="D24" s="157">
        <v>0.70833333333333337</v>
      </c>
      <c r="E24" s="157">
        <v>2.0833333333333332E-2</v>
      </c>
      <c r="F24" s="158">
        <f>IF(ISTEXT(C24),,D24-C24-E24)</f>
        <v>0.33333333333333337</v>
      </c>
      <c r="G24" s="159"/>
      <c r="H24" s="160">
        <f>IF(AND(ISTEXT(C24),ISERR(SEARCH("ausgleich",C24,1))),,INDEX(H$51:H$58,WEEKDAY(DATE(J$11,MONTH(I$11),A24),2),1,1))</f>
        <v>0.3125</v>
      </c>
      <c r="I24" s="161" cm="1">
        <f t="array" ref="I24">IF(AND(F24&gt;H24,OR(AND(OR($B24&lt;&gt;Ref!$A$7,$H$56&gt;0),OR($B24&lt;&gt;Ref!$A$8,$H$57&gt;0)),COUNT(SEARCH(Sonderarbeit,$N24))&gt;=1),ISNONTEXT(C24),C24&lt;&gt;""),F24-H24,"")</f>
        <v>2.083333333333337E-2</v>
      </c>
      <c r="J24" s="162" t="str" cm="1">
        <f t="array" ref="J24">IF(OR(AND(F24&lt;H24,OR(AND(OR($B24&lt;&gt;Ref!$A$7,$H$56&gt;0),OR($B24&lt;&gt;Ref!$A$8,$H$57&gt;0)),COUNT(SEARCH(Sonderarbeit,$N24))&gt;=1)),C24="Ausgleich"),H24-F24,"")</f>
        <v/>
      </c>
      <c r="K24" s="166" t="str">
        <f>IF(AND(B24=Ref!$A$8,SUM(I19:I24)&lt;SUM(J19:J24)),"-","")</f>
        <v/>
      </c>
      <c r="L24" s="167" t="str">
        <f>IF(B24=Ref!$A$8,ABS(SUM(I19:I24)-SUM(J19:J24)),"")</f>
        <v/>
      </c>
    </row>
    <row r="25" spans="1:14" ht="17.45" customHeight="1" x14ac:dyDescent="0.35">
      <c r="A25" s="168">
        <v>7</v>
      </c>
      <c r="B25" s="156" t="str">
        <f t="shared" si="1"/>
        <v>Samstag</v>
      </c>
      <c r="C25" s="157">
        <v>0.35416666666666669</v>
      </c>
      <c r="D25" s="157">
        <v>0.70833333333333337</v>
      </c>
      <c r="E25" s="157">
        <v>2.0833333333333332E-2</v>
      </c>
      <c r="F25" s="158">
        <f>IF(ISTEXT(C25),,D25-C25-E25)</f>
        <v>0.33333333333333337</v>
      </c>
      <c r="G25" s="159"/>
      <c r="H25" s="160">
        <f t="shared" ref="H25:H49" si="2">IF(AND(ISTEXT(C25),ISERR(SEARCH("ausgleich",C25,1))),,INDEX(H$51:H$58,WEEKDAY(DATE(J$11,MONTH(I$11),A25),2),1,1))</f>
        <v>0</v>
      </c>
      <c r="I25" s="161" t="str" cm="1">
        <f t="array" ref="I25">IF(AND(F25&gt;H25,OR(AND(OR($B25&lt;&gt;Ref!$A$7,$H$56&gt;0),OR($B25&lt;&gt;Ref!$A$8,$H$57&gt;0)),COUNT(SEARCH(Sonderarbeit,$N25))&gt;=1),ISNONTEXT(C25),C25&lt;&gt;""),F25-H25,"")</f>
        <v/>
      </c>
      <c r="J25" s="162" t="str" cm="1">
        <f t="array" ref="J25">IF(OR(AND(F25&lt;H25,OR(AND(OR($B25&lt;&gt;Ref!$A$7,$H$56&gt;0),OR($B25&lt;&gt;Ref!$A$8,$H$57&gt;0)),COUNT(SEARCH(Sonderarbeit,$N25))&gt;=1)),C25="Ausgleich"),H25-F25,"")</f>
        <v/>
      </c>
      <c r="K25" s="166" t="str">
        <f>IF(AND(B25=Ref!$A$8,SUM(I19:I25)&lt;SUM(J19:J25)),"-","")</f>
        <v/>
      </c>
      <c r="L25" s="167" t="str">
        <f>IF(B25=Ref!$A$8,ABS(SUM(I19:I25)-SUM(J19:J25)),"")</f>
        <v/>
      </c>
    </row>
    <row r="26" spans="1:14" ht="17.45" customHeight="1" x14ac:dyDescent="0.35">
      <c r="A26" s="168">
        <v>8</v>
      </c>
      <c r="B26" s="156" t="str">
        <f t="shared" si="1"/>
        <v>Sonntag</v>
      </c>
      <c r="C26" s="157">
        <v>0.35416666666666669</v>
      </c>
      <c r="D26" s="157">
        <v>0.70833333333333337</v>
      </c>
      <c r="E26" s="157">
        <v>2.0833333333333332E-2</v>
      </c>
      <c r="F26" s="158">
        <f>IF(ISTEXT(C26),,D26-C26-E26)</f>
        <v>0.33333333333333337</v>
      </c>
      <c r="G26" s="159"/>
      <c r="H26" s="160">
        <f t="shared" si="2"/>
        <v>0</v>
      </c>
      <c r="I26" s="161" t="str" cm="1">
        <f t="array" ref="I26">IF(AND(F26&gt;H26,OR(AND(OR($B26&lt;&gt;Ref!$A$7,$H$56&gt;0),OR($B26&lt;&gt;Ref!$A$8,$H$57&gt;0)),COUNT(SEARCH(Sonderarbeit,$N26))&gt;=1),ISNONTEXT(C26),C26&lt;&gt;""),F26-H26,"")</f>
        <v/>
      </c>
      <c r="J26" s="162" t="str" cm="1">
        <f t="array" ref="J26">IF(OR(AND(F26&lt;H26,OR(AND(OR($B26&lt;&gt;Ref!$A$7,$H$56&gt;0),OR($B26&lt;&gt;Ref!$A$8,$H$57&gt;0)),COUNT(SEARCH(Sonderarbeit,$N26))&gt;=1)),C26="Ausgleich"),H26-F26,"")</f>
        <v/>
      </c>
      <c r="K26" s="166" t="str">
        <f>IF(AND(B26=Ref!$A$8,SUM(I20:I26)&lt;SUM(J20:J26)),"-","")</f>
        <v/>
      </c>
      <c r="L26" s="167">
        <f>IF(B26=Ref!$A$8,ABS(SUM(I20:I26)-SUM(J20:J26)),"")</f>
        <v>2.083333333333337E-2</v>
      </c>
    </row>
    <row r="27" spans="1:14" ht="17.45" customHeight="1" x14ac:dyDescent="0.35">
      <c r="A27" s="155">
        <v>9</v>
      </c>
      <c r="B27" s="156" t="str">
        <f t="shared" si="1"/>
        <v>Montag</v>
      </c>
      <c r="C27" s="157">
        <v>0.35416666666666669</v>
      </c>
      <c r="D27" s="157">
        <v>0.70833333333333337</v>
      </c>
      <c r="E27" s="157">
        <v>2.0833333333333332E-2</v>
      </c>
      <c r="F27" s="158">
        <f>IF(ISTEXT(C27),,D27-C27-E27)</f>
        <v>0.33333333333333337</v>
      </c>
      <c r="G27" s="159"/>
      <c r="H27" s="160">
        <f t="shared" si="2"/>
        <v>0.33333333333333331</v>
      </c>
      <c r="I27" s="161" t="str" cm="1">
        <f t="array" ref="I27">IF(AND(F27&gt;H27,OR(AND(OR($B27&lt;&gt;Ref!$A$7,$H$56&gt;0),OR($B27&lt;&gt;Ref!$A$8,$H$57&gt;0)),COUNT(SEARCH(Sonderarbeit,$N27))&gt;=1),ISNONTEXT(C27),C27&lt;&gt;""),F27-H27,"")</f>
        <v/>
      </c>
      <c r="J27" s="162" t="str" cm="1">
        <f t="array" ref="J27">IF(OR(AND(F27&lt;H27,OR(AND(OR($B27&lt;&gt;Ref!$A$7,$H$56&gt;0),OR($B27&lt;&gt;Ref!$A$8,$H$57&gt;0)),COUNT(SEARCH(Sonderarbeit,$N27))&gt;=1)),C27="Ausgleich"),H27-F27,"")</f>
        <v/>
      </c>
      <c r="K27" s="166" t="str">
        <f>IF(AND(B27=Ref!$A$8,SUM(I21:I27)&lt;SUM(J21:J27)),"-","")</f>
        <v/>
      </c>
      <c r="L27" s="167" t="str">
        <f>IF(B27=Ref!$A$8,ABS(SUM(I21:I27)-SUM(J21:J27)),"")</f>
        <v/>
      </c>
    </row>
    <row r="28" spans="1:14" ht="17.45" customHeight="1" x14ac:dyDescent="0.35">
      <c r="A28" s="155">
        <v>10</v>
      </c>
      <c r="B28" s="156" t="str">
        <f t="shared" si="1"/>
        <v>Dienstag</v>
      </c>
      <c r="C28" s="157">
        <v>0.35416666666666669</v>
      </c>
      <c r="D28" s="157">
        <v>0.70833333333333337</v>
      </c>
      <c r="E28" s="157">
        <v>2.0833333333333332E-2</v>
      </c>
      <c r="F28" s="158">
        <f>IF(ISTEXT(C28),,D28-C28-E28)</f>
        <v>0.33333333333333337</v>
      </c>
      <c r="G28" s="159"/>
      <c r="H28" s="160">
        <f t="shared" si="2"/>
        <v>0.33333333333333331</v>
      </c>
      <c r="I28" s="161" t="str" cm="1">
        <f t="array" ref="I28">IF(AND(F28&gt;H28,OR(AND(OR($B28&lt;&gt;Ref!$A$7,$H$56&gt;0),OR($B28&lt;&gt;Ref!$A$8,$H$57&gt;0)),COUNT(SEARCH(Sonderarbeit,$N28))&gt;=1),ISNONTEXT(C28),C28&lt;&gt;""),F28-H28,"")</f>
        <v/>
      </c>
      <c r="J28" s="162" t="str" cm="1">
        <f t="array" ref="J28">IF(OR(AND(F28&lt;H28,OR(AND(OR($B28&lt;&gt;Ref!$A$7,$H$56&gt;0),OR($B28&lt;&gt;Ref!$A$8,$H$57&gt;0)),COUNT(SEARCH(Sonderarbeit,$N28))&gt;=1)),C28="Ausgleich"),H28-F28,"")</f>
        <v/>
      </c>
      <c r="K28" s="166" t="str">
        <f>IF(AND(B28=Ref!$A$8,SUM(I22:I28)&lt;SUM(J22:J28)),"-","")</f>
        <v/>
      </c>
      <c r="L28" s="167" t="str">
        <f>IF(B28=Ref!$A$8,ABS(SUM(I22:I28)-SUM(J22:J28)),"")</f>
        <v/>
      </c>
    </row>
    <row r="29" spans="1:14" ht="17.45" customHeight="1" x14ac:dyDescent="0.35">
      <c r="A29" s="168">
        <v>11</v>
      </c>
      <c r="B29" s="156" t="str">
        <f t="shared" si="1"/>
        <v>Mittwoch</v>
      </c>
      <c r="C29" s="157">
        <v>0.35416666666666669</v>
      </c>
      <c r="D29" s="157">
        <v>0.70833333333333337</v>
      </c>
      <c r="E29" s="157">
        <v>2.0833333333333332E-2</v>
      </c>
      <c r="F29" s="158">
        <f>IF(ISTEXT(C29),,D29-C29-E29)</f>
        <v>0.33333333333333337</v>
      </c>
      <c r="G29" s="159"/>
      <c r="H29" s="160">
        <f t="shared" si="2"/>
        <v>0.33333333333333331</v>
      </c>
      <c r="I29" s="161" t="str" cm="1">
        <f t="array" ref="I29">IF(AND(F29&gt;H29,OR(AND(OR($B29&lt;&gt;Ref!$A$7,$H$56&gt;0),OR($B29&lt;&gt;Ref!$A$8,$H$57&gt;0)),COUNT(SEARCH(Sonderarbeit,$N29))&gt;=1),ISNONTEXT(C29),C29&lt;&gt;""),F29-H29,"")</f>
        <v/>
      </c>
      <c r="J29" s="162" t="str" cm="1">
        <f t="array" ref="J29">IF(OR(AND(F29&lt;H29,OR(AND(OR($B29&lt;&gt;Ref!$A$7,$H$56&gt;0),OR($B29&lt;&gt;Ref!$A$8,$H$57&gt;0)),COUNT(SEARCH(Sonderarbeit,$N29))&gt;=1)),C29="Ausgleich"),H29-F29,"")</f>
        <v/>
      </c>
      <c r="K29" s="166" t="str">
        <f>IF(AND(B29=Ref!$A$8,SUM(I23:I29)&lt;SUM(J23:J29)),"-","")</f>
        <v/>
      </c>
      <c r="L29" s="167" t="str">
        <f>IF(B29=Ref!$A$8,ABS(SUM(I23:I29)-SUM(J23:J29)),"")</f>
        <v/>
      </c>
    </row>
    <row r="30" spans="1:14" ht="17.45" customHeight="1" x14ac:dyDescent="0.35">
      <c r="A30" s="168">
        <v>12</v>
      </c>
      <c r="B30" s="156" t="str">
        <f t="shared" si="1"/>
        <v>Donnerstag</v>
      </c>
      <c r="C30" s="157">
        <v>0.35416666666666669</v>
      </c>
      <c r="D30" s="157">
        <v>0.70833333333333337</v>
      </c>
      <c r="E30" s="157">
        <v>2.0833333333333332E-2</v>
      </c>
      <c r="F30" s="158">
        <f>IF(ISTEXT(C30),,D30-C30-E30)</f>
        <v>0.33333333333333337</v>
      </c>
      <c r="G30" s="159"/>
      <c r="H30" s="160">
        <f t="shared" si="2"/>
        <v>0.33333333333333331</v>
      </c>
      <c r="I30" s="161" t="str" cm="1">
        <f t="array" ref="I30">IF(AND(F30&gt;H30,OR(AND(OR($B30&lt;&gt;Ref!$A$7,$H$56&gt;0),OR($B30&lt;&gt;Ref!$A$8,$H$57&gt;0)),COUNT(SEARCH(Sonderarbeit,$N30))&gt;=1),ISNONTEXT(C30),C30&lt;&gt;""),F30-H30,"")</f>
        <v/>
      </c>
      <c r="J30" s="162" t="str" cm="1">
        <f t="array" ref="J30">IF(OR(AND(F30&lt;H30,OR(AND(OR($B30&lt;&gt;Ref!$A$7,$H$56&gt;0),OR($B30&lt;&gt;Ref!$A$8,$H$57&gt;0)),COUNT(SEARCH(Sonderarbeit,$N30))&gt;=1)),C30="Ausgleich"),H30-F30,"")</f>
        <v/>
      </c>
      <c r="K30" s="166" t="str">
        <f>IF(AND(B30=Ref!$A$8,SUM(I24:I30)&lt;SUM(J24:J30)),"-","")</f>
        <v/>
      </c>
      <c r="L30" s="167" t="str">
        <f>IF(B30=Ref!$A$8,ABS(SUM(I24:I30)-SUM(J24:J30)),"")</f>
        <v/>
      </c>
    </row>
    <row r="31" spans="1:14" ht="17.45" customHeight="1" x14ac:dyDescent="0.35">
      <c r="A31" s="168">
        <v>13</v>
      </c>
      <c r="B31" s="156" t="str">
        <f t="shared" si="1"/>
        <v>Freitag</v>
      </c>
      <c r="C31" s="157">
        <v>0.35416666666666669</v>
      </c>
      <c r="D31" s="157">
        <v>0.70833333333333337</v>
      </c>
      <c r="E31" s="157">
        <v>2.0833333333333332E-2</v>
      </c>
      <c r="F31" s="158">
        <f>IF(ISTEXT(C31),,D31-C31-E31)</f>
        <v>0.33333333333333337</v>
      </c>
      <c r="G31" s="159"/>
      <c r="H31" s="160">
        <f t="shared" si="2"/>
        <v>0.3125</v>
      </c>
      <c r="I31" s="161" cm="1">
        <f t="array" ref="I31">IF(AND(F31&gt;H31,OR(AND(OR($B31&lt;&gt;Ref!$A$7,$H$56&gt;0),OR($B31&lt;&gt;Ref!$A$8,$H$57&gt;0)),COUNT(SEARCH(Sonderarbeit,$N31))&gt;=1),ISNONTEXT(C31),C31&lt;&gt;""),F31-H31,"")</f>
        <v>2.083333333333337E-2</v>
      </c>
      <c r="J31" s="162" t="str" cm="1">
        <f t="array" ref="J31">IF(OR(AND(F31&lt;H31,OR(AND(OR($B31&lt;&gt;Ref!$A$7,$H$56&gt;0),OR($B31&lt;&gt;Ref!$A$8,$H$57&gt;0)),COUNT(SEARCH(Sonderarbeit,$N31))&gt;=1)),C31="Ausgleich"),H31-F31,"")</f>
        <v/>
      </c>
      <c r="K31" s="166" t="str">
        <f>IF(AND(B31=Ref!$A$8,SUM(I25:I31)&lt;SUM(J25:J31)),"-","")</f>
        <v/>
      </c>
      <c r="L31" s="167" t="str">
        <f>IF(B31=Ref!$A$8,ABS(SUM(I25:I31)-SUM(J25:J31)),"")</f>
        <v/>
      </c>
    </row>
    <row r="32" spans="1:14" ht="17.45" customHeight="1" x14ac:dyDescent="0.35">
      <c r="A32" s="168">
        <v>14</v>
      </c>
      <c r="B32" s="156" t="str">
        <f t="shared" si="1"/>
        <v>Samstag</v>
      </c>
      <c r="C32" s="157">
        <v>0.35416666666666669</v>
      </c>
      <c r="D32" s="157">
        <v>0.70833333333333337</v>
      </c>
      <c r="E32" s="157">
        <v>2.0833333333333332E-2</v>
      </c>
      <c r="F32" s="158">
        <f>IF(ISTEXT(C32),,D32-C32-E32)</f>
        <v>0.33333333333333337</v>
      </c>
      <c r="G32" s="159"/>
      <c r="H32" s="160">
        <f t="shared" si="2"/>
        <v>0</v>
      </c>
      <c r="I32" s="161" t="str" cm="1">
        <f t="array" ref="I32">IF(AND(F32&gt;H32,OR(AND(OR($B32&lt;&gt;Ref!$A$7,$H$56&gt;0),OR($B32&lt;&gt;Ref!$A$8,$H$57&gt;0)),COUNT(SEARCH(Sonderarbeit,$N32))&gt;=1),ISNONTEXT(C32),C32&lt;&gt;""),F32-H32,"")</f>
        <v/>
      </c>
      <c r="J32" s="162" t="str" cm="1">
        <f t="array" ref="J32">IF(OR(AND(F32&lt;H32,OR(AND(OR($B32&lt;&gt;Ref!$A$7,$H$56&gt;0),OR($B32&lt;&gt;Ref!$A$8,$H$57&gt;0)),COUNT(SEARCH(Sonderarbeit,$N32))&gt;=1)),C32="Ausgleich"),H32-F32,"")</f>
        <v/>
      </c>
      <c r="K32" s="166" t="str">
        <f>IF(AND(B32=Ref!$A$8,SUM(I26:I32)&lt;SUM(J26:J32)),"-","")</f>
        <v/>
      </c>
      <c r="L32" s="167" t="str">
        <f>IF(B32=Ref!$A$8,ABS(SUM(I26:I32)-SUM(J26:J32)),"")</f>
        <v/>
      </c>
    </row>
    <row r="33" spans="1:14" ht="17.45" customHeight="1" x14ac:dyDescent="0.35">
      <c r="A33" s="155">
        <v>15</v>
      </c>
      <c r="B33" s="156" t="str">
        <f t="shared" si="1"/>
        <v>Sonntag</v>
      </c>
      <c r="C33" s="157">
        <v>0.35416666666666669</v>
      </c>
      <c r="D33" s="157">
        <v>0.70833333333333337</v>
      </c>
      <c r="E33" s="157">
        <v>2.0833333333333332E-2</v>
      </c>
      <c r="F33" s="158">
        <f>IF(ISTEXT(C33),,D33-C33-E33)</f>
        <v>0.33333333333333337</v>
      </c>
      <c r="G33" s="159"/>
      <c r="H33" s="160">
        <f t="shared" si="2"/>
        <v>0</v>
      </c>
      <c r="I33" s="161" t="str" cm="1">
        <f t="array" ref="I33">IF(AND(F33&gt;H33,OR(AND(OR($B33&lt;&gt;Ref!$A$7,$H$56&gt;0),OR($B33&lt;&gt;Ref!$A$8,$H$57&gt;0)),COUNT(SEARCH(Sonderarbeit,$N33))&gt;=1),ISNONTEXT(C33),C33&lt;&gt;""),F33-H33,"")</f>
        <v/>
      </c>
      <c r="J33" s="162" t="str" cm="1">
        <f t="array" ref="J33">IF(OR(AND(F33&lt;H33,OR(AND(OR($B33&lt;&gt;Ref!$A$7,$H$56&gt;0),OR($B33&lt;&gt;Ref!$A$8,$H$57&gt;0)),COUNT(SEARCH(Sonderarbeit,$N33))&gt;=1)),C33="Ausgleich"),H33-F33,"")</f>
        <v/>
      </c>
      <c r="K33" s="166" t="str">
        <f>IF(AND(B33=Ref!$A$8,SUM(I27:I33)&lt;SUM(J27:J33)),"-","")</f>
        <v/>
      </c>
      <c r="L33" s="167">
        <f>IF(B33=Ref!$A$8,ABS(SUM(I27:I33)-SUM(J27:J33)),"")</f>
        <v>2.083333333333337E-2</v>
      </c>
    </row>
    <row r="34" spans="1:14" ht="17.45" customHeight="1" x14ac:dyDescent="0.35">
      <c r="A34" s="155">
        <v>16</v>
      </c>
      <c r="B34" s="156" t="str">
        <f t="shared" si="1"/>
        <v>Montag</v>
      </c>
      <c r="C34" s="157">
        <v>0.35416666666666669</v>
      </c>
      <c r="D34" s="157">
        <v>0.70833333333333337</v>
      </c>
      <c r="E34" s="157">
        <v>2.0833333333333332E-2</v>
      </c>
      <c r="F34" s="158">
        <f>IF(ISTEXT(C34),,D34-C34-E34)</f>
        <v>0.33333333333333337</v>
      </c>
      <c r="G34" s="159"/>
      <c r="H34" s="160">
        <f t="shared" si="2"/>
        <v>0.33333333333333331</v>
      </c>
      <c r="I34" s="161" t="str" cm="1">
        <f t="array" ref="I34">IF(AND(F34&gt;H34,OR(AND(OR($B34&lt;&gt;Ref!$A$7,$H$56&gt;0),OR($B34&lt;&gt;Ref!$A$8,$H$57&gt;0)),COUNT(SEARCH(Sonderarbeit,$N34))&gt;=1),ISNONTEXT(C34),C34&lt;&gt;""),F34-H34,"")</f>
        <v/>
      </c>
      <c r="J34" s="162" t="str" cm="1">
        <f t="array" ref="J34">IF(OR(AND(F34&lt;H34,OR(AND(OR($B34&lt;&gt;Ref!$A$7,$H$56&gt;0),OR($B34&lt;&gt;Ref!$A$8,$H$57&gt;0)),COUNT(SEARCH(Sonderarbeit,$N34))&gt;=1)),C34="Ausgleich"),H34-F34,"")</f>
        <v/>
      </c>
      <c r="K34" s="166" t="str">
        <f>IF(AND(B34=Ref!$A$8,SUM(I28:I34)&lt;SUM(J28:J34)),"-","")</f>
        <v/>
      </c>
      <c r="L34" s="167" t="str">
        <f>IF(B34=Ref!$A$8,ABS(SUM(I28:I34)-SUM(J28:J34)),"")</f>
        <v/>
      </c>
    </row>
    <row r="35" spans="1:14" ht="17.45" customHeight="1" x14ac:dyDescent="0.35">
      <c r="A35" s="155">
        <v>17</v>
      </c>
      <c r="B35" s="156" t="str">
        <f t="shared" si="1"/>
        <v>Dienstag</v>
      </c>
      <c r="C35" s="157">
        <v>0.35416666666666669</v>
      </c>
      <c r="D35" s="157">
        <v>0.70833333333333337</v>
      </c>
      <c r="E35" s="157">
        <v>2.0833333333333332E-2</v>
      </c>
      <c r="F35" s="158">
        <f>IF(ISTEXT(C35),,D35-C35-E35)</f>
        <v>0.33333333333333337</v>
      </c>
      <c r="G35" s="159"/>
      <c r="H35" s="160">
        <f t="shared" si="2"/>
        <v>0.33333333333333331</v>
      </c>
      <c r="I35" s="161" t="str" cm="1">
        <f t="array" ref="I35">IF(AND(F35&gt;H35,OR(AND(OR($B35&lt;&gt;Ref!$A$7,$H$56&gt;0),OR($B35&lt;&gt;Ref!$A$8,$H$57&gt;0)),COUNT(SEARCH(Sonderarbeit,$N35))&gt;=1),ISNONTEXT(C35),C35&lt;&gt;""),F35-H35,"")</f>
        <v/>
      </c>
      <c r="J35" s="162" t="str" cm="1">
        <f t="array" ref="J35">IF(OR(AND(F35&lt;H35,OR(AND(OR($B35&lt;&gt;Ref!$A$7,$H$56&gt;0),OR($B35&lt;&gt;Ref!$A$8,$H$57&gt;0)),COUNT(SEARCH(Sonderarbeit,$N35))&gt;=1)),C35="Ausgleich"),H35-F35,"")</f>
        <v/>
      </c>
      <c r="K35" s="166" t="str">
        <f>IF(AND(B35=Ref!$A$8,SUM(I29:I35)&lt;SUM(J29:J35)),"-","")</f>
        <v/>
      </c>
      <c r="L35" s="167" t="str">
        <f>IF(B35=Ref!$A$8,ABS(SUM(I29:I35)-SUM(J29:J35)),"")</f>
        <v/>
      </c>
    </row>
    <row r="36" spans="1:14" ht="17.45" customHeight="1" x14ac:dyDescent="0.35">
      <c r="A36" s="155">
        <v>18</v>
      </c>
      <c r="B36" s="156" t="str">
        <f t="shared" si="1"/>
        <v>Mittwoch</v>
      </c>
      <c r="C36" s="157">
        <v>0.35416666666666669</v>
      </c>
      <c r="D36" s="157">
        <v>0.70833333333333337</v>
      </c>
      <c r="E36" s="157">
        <v>2.0833333333333332E-2</v>
      </c>
      <c r="F36" s="158">
        <f>IF(ISTEXT(C36),,D36-C36-E36)</f>
        <v>0.33333333333333337</v>
      </c>
      <c r="G36" s="159"/>
      <c r="H36" s="160">
        <f t="shared" si="2"/>
        <v>0.33333333333333331</v>
      </c>
      <c r="I36" s="161" t="str" cm="1">
        <f t="array" ref="I36">IF(AND(F36&gt;H36,OR(AND(OR($B36&lt;&gt;Ref!$A$7,$H$56&gt;0),OR($B36&lt;&gt;Ref!$A$8,$H$57&gt;0)),COUNT(SEARCH(Sonderarbeit,$N36))&gt;=1),ISNONTEXT(C36),C36&lt;&gt;""),F36-H36,"")</f>
        <v/>
      </c>
      <c r="J36" s="162" t="str" cm="1">
        <f t="array" ref="J36">IF(OR(AND(F36&lt;H36,OR(AND(OR($B36&lt;&gt;Ref!$A$7,$H$56&gt;0),OR($B36&lt;&gt;Ref!$A$8,$H$57&gt;0)),COUNT(SEARCH(Sonderarbeit,$N36))&gt;=1)),C36="Ausgleich"),H36-F36,"")</f>
        <v/>
      </c>
      <c r="K36" s="166" t="str">
        <f>IF(AND(B36=Ref!$A$8,SUM(I30:I36)&lt;SUM(J30:J36)),"-","")</f>
        <v/>
      </c>
      <c r="L36" s="167" t="str">
        <f>IF(B36=Ref!$A$8,ABS(SUM(I30:I36)-SUM(J30:J36)),"")</f>
        <v/>
      </c>
    </row>
    <row r="37" spans="1:14" ht="17.45" customHeight="1" x14ac:dyDescent="0.35">
      <c r="A37" s="155">
        <v>19</v>
      </c>
      <c r="B37" s="156" t="str">
        <f t="shared" si="1"/>
        <v>Donnerstag</v>
      </c>
      <c r="C37" s="157">
        <v>0.35416666666666669</v>
      </c>
      <c r="D37" s="157">
        <v>0.70833333333333337</v>
      </c>
      <c r="E37" s="157">
        <v>2.0833333333333332E-2</v>
      </c>
      <c r="F37" s="158">
        <f>IF(ISTEXT(C37),,D37-C37-E37)</f>
        <v>0.33333333333333337</v>
      </c>
      <c r="G37" s="159"/>
      <c r="H37" s="160">
        <f t="shared" si="2"/>
        <v>0.33333333333333331</v>
      </c>
      <c r="I37" s="161" t="str" cm="1">
        <f t="array" ref="I37">IF(AND(F37&gt;H37,OR(AND(OR($B37&lt;&gt;Ref!$A$7,$H$56&gt;0),OR($B37&lt;&gt;Ref!$A$8,$H$57&gt;0)),COUNT(SEARCH(Sonderarbeit,$N37))&gt;=1),ISNONTEXT(C37),C37&lt;&gt;""),F37-H37,"")</f>
        <v/>
      </c>
      <c r="J37" s="162" t="str" cm="1">
        <f t="array" ref="J37">IF(OR(AND(F37&lt;H37,OR(AND(OR($B37&lt;&gt;Ref!$A$7,$H$56&gt;0),OR($B37&lt;&gt;Ref!$A$8,$H$57&gt;0)),COUNT(SEARCH(Sonderarbeit,$N37))&gt;=1)),C37="Ausgleich"),H37-F37,"")</f>
        <v/>
      </c>
      <c r="K37" s="166" t="str">
        <f>IF(AND(B37=Ref!$A$8,SUM(I31:I37)&lt;SUM(J31:J37)),"-","")</f>
        <v/>
      </c>
      <c r="L37" s="167" t="str">
        <f>IF(B37=Ref!$A$8,ABS(SUM(I31:I37)-SUM(J31:J37)),"")</f>
        <v/>
      </c>
    </row>
    <row r="38" spans="1:14" ht="17.45" customHeight="1" x14ac:dyDescent="0.35">
      <c r="A38" s="155">
        <v>20</v>
      </c>
      <c r="B38" s="156" t="str">
        <f t="shared" si="1"/>
        <v>Freitag</v>
      </c>
      <c r="C38" s="157">
        <v>0.35416666666666669</v>
      </c>
      <c r="D38" s="157">
        <v>0.70833333333333337</v>
      </c>
      <c r="E38" s="157">
        <v>2.0833333333333332E-2</v>
      </c>
      <c r="F38" s="158">
        <f>IF(ISTEXT(C38),,D38-C38-E38)</f>
        <v>0.33333333333333337</v>
      </c>
      <c r="G38" s="159"/>
      <c r="H38" s="160">
        <f t="shared" si="2"/>
        <v>0.3125</v>
      </c>
      <c r="I38" s="161" cm="1">
        <f t="array" ref="I38">IF(AND(F38&gt;H38,OR(AND(OR($B38&lt;&gt;Ref!$A$7,$H$56&gt;0),OR($B38&lt;&gt;Ref!$A$8,$H$57&gt;0)),COUNT(SEARCH(Sonderarbeit,$N38))&gt;=1),ISNONTEXT(C38),C38&lt;&gt;""),F38-H38,"")</f>
        <v>2.083333333333337E-2</v>
      </c>
      <c r="J38" s="162" t="str" cm="1">
        <f t="array" ref="J38">IF(OR(AND(F38&lt;H38,OR(AND(OR($B38&lt;&gt;Ref!$A$7,$H$56&gt;0),OR($B38&lt;&gt;Ref!$A$8,$H$57&gt;0)),COUNT(SEARCH(Sonderarbeit,$N38))&gt;=1)),C38="Ausgleich"),H38-F38,"")</f>
        <v/>
      </c>
      <c r="K38" s="166" t="str">
        <f>IF(AND(B38=Ref!$A$8,SUM(I32:I38)&lt;SUM(J32:J38)),"-","")</f>
        <v/>
      </c>
      <c r="L38" s="167" t="str">
        <f>IF(B38=Ref!$A$8,ABS(SUM(I32:I38)-SUM(J32:J38)),"")</f>
        <v/>
      </c>
    </row>
    <row r="39" spans="1:14" ht="17.45" customHeight="1" x14ac:dyDescent="0.35">
      <c r="A39" s="155">
        <v>21</v>
      </c>
      <c r="B39" s="156" t="str">
        <f t="shared" si="1"/>
        <v>Samstag</v>
      </c>
      <c r="C39" s="157">
        <v>0.35416666666666669</v>
      </c>
      <c r="D39" s="157">
        <v>0.70833333333333337</v>
      </c>
      <c r="E39" s="157">
        <v>2.0833333333333332E-2</v>
      </c>
      <c r="F39" s="158">
        <f>IF(ISTEXT(C39),,D39-C39-E39)</f>
        <v>0.33333333333333337</v>
      </c>
      <c r="G39" s="159"/>
      <c r="H39" s="160">
        <f t="shared" si="2"/>
        <v>0</v>
      </c>
      <c r="I39" s="161" t="str" cm="1">
        <f t="array" ref="I39">IF(AND(F39&gt;H39,OR(AND(OR($B39&lt;&gt;Ref!$A$7,$H$56&gt;0),OR($B39&lt;&gt;Ref!$A$8,$H$57&gt;0)),COUNT(SEARCH(Sonderarbeit,$N39))&gt;=1),ISNONTEXT(C39),C39&lt;&gt;""),F39-H39,"")</f>
        <v/>
      </c>
      <c r="J39" s="162" t="str" cm="1">
        <f t="array" ref="J39">IF(OR(AND(F39&lt;H39,OR(AND(OR($B39&lt;&gt;Ref!$A$7,$H$56&gt;0),OR($B39&lt;&gt;Ref!$A$8,$H$57&gt;0)),COUNT(SEARCH(Sonderarbeit,$N39))&gt;=1)),C39="Ausgleich"),H39-F39,"")</f>
        <v/>
      </c>
      <c r="K39" s="166" t="str">
        <f>IF(AND(B39=Ref!$A$8,SUM(I33:I39)&lt;SUM(J33:J39)),"-","")</f>
        <v/>
      </c>
      <c r="L39" s="167" t="str">
        <f>IF(B39=Ref!$A$8,ABS(SUM(I33:I39)-SUM(J33:J39)),"")</f>
        <v/>
      </c>
    </row>
    <row r="40" spans="1:14" ht="17.45" customHeight="1" x14ac:dyDescent="0.35">
      <c r="A40" s="155">
        <v>22</v>
      </c>
      <c r="B40" s="156" t="str">
        <f t="shared" si="1"/>
        <v>Sonntag</v>
      </c>
      <c r="C40" s="157">
        <v>0.35416666666666669</v>
      </c>
      <c r="D40" s="157">
        <v>0.70833333333333337</v>
      </c>
      <c r="E40" s="157">
        <v>2.0833333333333332E-2</v>
      </c>
      <c r="F40" s="158">
        <f>IF(ISTEXT(C40),,D40-C40-E40)</f>
        <v>0.33333333333333337</v>
      </c>
      <c r="G40" s="159"/>
      <c r="H40" s="160">
        <f t="shared" si="2"/>
        <v>0</v>
      </c>
      <c r="I40" s="161" t="str" cm="1">
        <f t="array" ref="I40">IF(AND(F40&gt;H40,OR(AND(OR($B40&lt;&gt;Ref!$A$7,$H$56&gt;0),OR($B40&lt;&gt;Ref!$A$8,$H$57&gt;0)),COUNT(SEARCH(Sonderarbeit,$N40))&gt;=1),ISNONTEXT(C40),C40&lt;&gt;""),F40-H40,"")</f>
        <v/>
      </c>
      <c r="J40" s="162" t="str" cm="1">
        <f t="array" ref="J40">IF(OR(AND(F40&lt;H40,OR(AND(OR($B40&lt;&gt;Ref!$A$7,$H$56&gt;0),OR($B40&lt;&gt;Ref!$A$8,$H$57&gt;0)),COUNT(SEARCH(Sonderarbeit,$N40))&gt;=1)),C40="Ausgleich"),H40-F40,"")</f>
        <v/>
      </c>
      <c r="K40" s="166" t="str">
        <f>IF(AND(B40=Ref!$A$8,SUM(I34:I40)&lt;SUM(J34:J40)),"-","")</f>
        <v/>
      </c>
      <c r="L40" s="167">
        <f>IF(B40=Ref!$A$8,ABS(SUM(I34:I40)-SUM(J34:J40)),"")</f>
        <v>2.083333333333337E-2</v>
      </c>
    </row>
    <row r="41" spans="1:14" ht="17.45" customHeight="1" x14ac:dyDescent="0.35">
      <c r="A41" s="155">
        <v>23</v>
      </c>
      <c r="B41" s="156" t="str">
        <f t="shared" si="1"/>
        <v>Montag</v>
      </c>
      <c r="C41" s="157">
        <v>0.35416666666666669</v>
      </c>
      <c r="D41" s="157">
        <v>0.70833333333333337</v>
      </c>
      <c r="E41" s="157">
        <v>2.0833333333333332E-2</v>
      </c>
      <c r="F41" s="158">
        <f>IF(ISTEXT(C41),,D41-C41-E41)</f>
        <v>0.33333333333333337</v>
      </c>
      <c r="G41" s="159"/>
      <c r="H41" s="160">
        <f t="shared" si="2"/>
        <v>0.33333333333333331</v>
      </c>
      <c r="I41" s="161" t="str" cm="1">
        <f t="array" ref="I41">IF(AND(F41&gt;H41,OR(AND(OR($B41&lt;&gt;Ref!$A$7,$H$56&gt;0),OR($B41&lt;&gt;Ref!$A$8,$H$57&gt;0)),COUNT(SEARCH(Sonderarbeit,$N41))&gt;=1),ISNONTEXT(C41),C41&lt;&gt;""),F41-H41,"")</f>
        <v/>
      </c>
      <c r="J41" s="162" t="str" cm="1">
        <f t="array" ref="J41">IF(OR(AND(F41&lt;H41,OR(AND(OR($B41&lt;&gt;Ref!$A$7,$H$56&gt;0),OR($B41&lt;&gt;Ref!$A$8,$H$57&gt;0)),COUNT(SEARCH(Sonderarbeit,$N41))&gt;=1)),C41="Ausgleich"),H41-F41,"")</f>
        <v/>
      </c>
      <c r="K41" s="166" t="str">
        <f>IF(AND(B41=Ref!$A$8,SUM(I35:I41)&lt;SUM(J35:J41)),"-","")</f>
        <v/>
      </c>
      <c r="L41" s="167" t="str">
        <f>IF(B41=Ref!$A$8,ABS(SUM(I35:I41)-SUM(J35:J41)),"")</f>
        <v/>
      </c>
    </row>
    <row r="42" spans="1:14" ht="17.45" customHeight="1" x14ac:dyDescent="0.35">
      <c r="A42" s="155">
        <v>24</v>
      </c>
      <c r="B42" s="156" t="str">
        <f t="shared" si="1"/>
        <v>Dienstag</v>
      </c>
      <c r="C42" s="157">
        <v>0.35416666666666669</v>
      </c>
      <c r="D42" s="157">
        <v>0.70833333333333337</v>
      </c>
      <c r="E42" s="157">
        <v>2.0833333333333332E-2</v>
      </c>
      <c r="F42" s="158">
        <f>IF(ISTEXT(C42),,D42-C42-E42)</f>
        <v>0.33333333333333337</v>
      </c>
      <c r="G42" s="159"/>
      <c r="H42" s="160">
        <f t="shared" si="2"/>
        <v>0.33333333333333331</v>
      </c>
      <c r="I42" s="161" t="str" cm="1">
        <f t="array" ref="I42">IF(AND(F42&gt;H42,OR(AND(OR($B42&lt;&gt;Ref!$A$7,$H$56&gt;0),OR($B42&lt;&gt;Ref!$A$8,$H$57&gt;0)),COUNT(SEARCH(Sonderarbeit,$N42))&gt;=1),ISNONTEXT(C42),C42&lt;&gt;""),F42-H42,"")</f>
        <v/>
      </c>
      <c r="J42" s="162" t="str" cm="1">
        <f t="array" ref="J42">IF(OR(AND(F42&lt;H42,OR(AND(OR($B42&lt;&gt;Ref!$A$7,$H$56&gt;0),OR($B42&lt;&gt;Ref!$A$8,$H$57&gt;0)),COUNT(SEARCH(Sonderarbeit,$N42))&gt;=1)),C42="Ausgleich"),H42-F42,"")</f>
        <v/>
      </c>
      <c r="K42" s="166" t="str">
        <f>IF(AND(B42=Ref!$A$8,SUM(I36:I42)&lt;SUM(J36:J42)),"-","")</f>
        <v/>
      </c>
      <c r="L42" s="167" t="str">
        <f>IF(B42=Ref!$A$8,ABS(SUM(I36:I42)-SUM(J36:J42)),"")</f>
        <v/>
      </c>
    </row>
    <row r="43" spans="1:14" ht="17.45" customHeight="1" x14ac:dyDescent="0.35">
      <c r="A43" s="155">
        <v>25</v>
      </c>
      <c r="B43" s="156" t="str">
        <f t="shared" si="1"/>
        <v>Mittwoch</v>
      </c>
      <c r="C43" s="157">
        <v>0.35416666666666669</v>
      </c>
      <c r="D43" s="157">
        <v>0.70833333333333337</v>
      </c>
      <c r="E43" s="157">
        <v>2.0833333333333332E-2</v>
      </c>
      <c r="F43" s="158">
        <f>IF(ISTEXT(C43),,D43-C43-E43)</f>
        <v>0.33333333333333337</v>
      </c>
      <c r="G43" s="159"/>
      <c r="H43" s="160">
        <f t="shared" si="2"/>
        <v>0.33333333333333331</v>
      </c>
      <c r="I43" s="161" t="str" cm="1">
        <f t="array" ref="I43">IF(AND(F43&gt;H43,OR(AND(OR($B43&lt;&gt;Ref!$A$7,$H$56&gt;0),OR($B43&lt;&gt;Ref!$A$8,$H$57&gt;0)),COUNT(SEARCH(Sonderarbeit,$N43))&gt;=1),ISNONTEXT(C43),C43&lt;&gt;""),F43-H43,"")</f>
        <v/>
      </c>
      <c r="J43" s="162" t="str" cm="1">
        <f t="array" ref="J43">IF(OR(AND(F43&lt;H43,OR(AND(OR($B43&lt;&gt;Ref!$A$7,$H$56&gt;0),OR($B43&lt;&gt;Ref!$A$8,$H$57&gt;0)),COUNT(SEARCH(Sonderarbeit,$N43))&gt;=1)),C43="Ausgleich"),H43-F43,"")</f>
        <v/>
      </c>
      <c r="K43" s="166" t="str">
        <f>IF(AND(B43=Ref!$A$8,SUM(I37:I43)&lt;SUM(J37:J43)),"-","")</f>
        <v/>
      </c>
      <c r="L43" s="167" t="str">
        <f>IF(B43=Ref!$A$8,ABS(SUM(I37:I43)-SUM(J37:J43)),"")</f>
        <v/>
      </c>
    </row>
    <row r="44" spans="1:14" ht="17.45" customHeight="1" x14ac:dyDescent="0.35">
      <c r="A44" s="155">
        <v>26</v>
      </c>
      <c r="B44" s="156" t="str">
        <f t="shared" si="1"/>
        <v>Donnerstag</v>
      </c>
      <c r="C44" s="157">
        <v>0.35416666666666669</v>
      </c>
      <c r="D44" s="157">
        <v>0.70833333333333337</v>
      </c>
      <c r="E44" s="157">
        <v>2.0833333333333332E-2</v>
      </c>
      <c r="F44" s="158">
        <f>IF(ISTEXT(C44),,D44-C44-E44)</f>
        <v>0.33333333333333337</v>
      </c>
      <c r="G44" s="159"/>
      <c r="H44" s="160">
        <f t="shared" si="2"/>
        <v>0.33333333333333331</v>
      </c>
      <c r="I44" s="161" t="str" cm="1">
        <f t="array" ref="I44">IF(AND(F44&gt;H44,OR(AND(OR($B44&lt;&gt;Ref!$A$7,$H$56&gt;0),OR($B44&lt;&gt;Ref!$A$8,$H$57&gt;0)),COUNT(SEARCH(Sonderarbeit,$N44))&gt;=1),ISNONTEXT(C44),C44&lt;&gt;""),F44-H44,"")</f>
        <v/>
      </c>
      <c r="J44" s="162" t="str" cm="1">
        <f t="array" ref="J44">IF(OR(AND(F44&lt;H44,OR(AND(OR($B44&lt;&gt;Ref!$A$7,$H$56&gt;0),OR($B44&lt;&gt;Ref!$A$8,$H$57&gt;0)),COUNT(SEARCH(Sonderarbeit,$N44))&gt;=1)),C44="Ausgleich"),H44-F44,"")</f>
        <v/>
      </c>
      <c r="K44" s="166" t="str">
        <f>IF(AND(B44=Ref!$A$8,SUM(I38:I44)&lt;SUM(J38:J44)),"-","")</f>
        <v/>
      </c>
      <c r="L44" s="167" t="str">
        <f>IF(B44=Ref!$A$8,ABS(SUM(I38:I44)-SUM(J38:J44)),"")</f>
        <v/>
      </c>
    </row>
    <row r="45" spans="1:14" ht="17.45" customHeight="1" x14ac:dyDescent="0.35">
      <c r="A45" s="155">
        <v>27</v>
      </c>
      <c r="B45" s="156" t="str">
        <f t="shared" si="1"/>
        <v>Freitag</v>
      </c>
      <c r="C45" s="157">
        <v>0.35416666666666669</v>
      </c>
      <c r="D45" s="157">
        <v>0.70833333333333337</v>
      </c>
      <c r="E45" s="157">
        <v>2.0833333333333332E-2</v>
      </c>
      <c r="F45" s="158">
        <f>IF(ISTEXT(C45),,D45-C45-E45)</f>
        <v>0.33333333333333337</v>
      </c>
      <c r="G45" s="159"/>
      <c r="H45" s="160">
        <f t="shared" si="2"/>
        <v>0.3125</v>
      </c>
      <c r="I45" s="161" cm="1">
        <f t="array" ref="I45">IF(AND(F45&gt;H45,OR(AND(OR($B45&lt;&gt;Ref!$A$7,$H$56&gt;0),OR($B45&lt;&gt;Ref!$A$8,$H$57&gt;0)),COUNT(SEARCH(Sonderarbeit,$N45))&gt;=1),ISNONTEXT(C45),C45&lt;&gt;""),F45-H45,"")</f>
        <v>2.083333333333337E-2</v>
      </c>
      <c r="J45" s="162" t="str" cm="1">
        <f t="array" ref="J45">IF(OR(AND(F45&lt;H45,OR(AND(OR($B45&lt;&gt;Ref!$A$7,$H$56&gt;0),OR($B45&lt;&gt;Ref!$A$8,$H$57&gt;0)),COUNT(SEARCH(Sonderarbeit,$N45))&gt;=1)),C45="Ausgleich"),H45-F45,"")</f>
        <v/>
      </c>
      <c r="K45" s="166" t="str">
        <f>IF(AND(B45=Ref!$A$8,SUM(I39:I45)&lt;SUM(J39:J45)),"-","")</f>
        <v/>
      </c>
      <c r="L45" s="167" t="str">
        <f>IF(B45=Ref!$A$8,ABS(SUM(I39:I45)-SUM(J39:J45)),"")</f>
        <v/>
      </c>
    </row>
    <row r="46" spans="1:14" ht="17.45" customHeight="1" x14ac:dyDescent="0.35">
      <c r="A46" s="155">
        <v>28</v>
      </c>
      <c r="B46" s="156" t="str">
        <f t="shared" si="1"/>
        <v>Samstag</v>
      </c>
      <c r="C46" s="157">
        <v>0.35416666666666669</v>
      </c>
      <c r="D46" s="157">
        <v>0.70833333333333337</v>
      </c>
      <c r="E46" s="157">
        <v>2.0833333333333332E-2</v>
      </c>
      <c r="F46" s="158">
        <f>IF(ISTEXT(C46),,D46-C46-E46)</f>
        <v>0.33333333333333337</v>
      </c>
      <c r="G46" s="159"/>
      <c r="H46" s="160">
        <f t="shared" si="2"/>
        <v>0</v>
      </c>
      <c r="I46" s="161" t="str" cm="1">
        <f t="array" ref="I46">IF(AND(F46&gt;H46,OR(AND(OR($B46&lt;&gt;Ref!$A$7,$H$56&gt;0),OR($B46&lt;&gt;Ref!$A$8,$H$57&gt;0)),COUNT(SEARCH(Sonderarbeit,$N46))&gt;=1),ISNONTEXT(C46),C46&lt;&gt;""),F46-H46,"")</f>
        <v/>
      </c>
      <c r="J46" s="162" t="str" cm="1">
        <f t="array" ref="J46">IF(OR(AND(F46&lt;H46,OR(AND(OR($B46&lt;&gt;Ref!$A$7,$H$56&gt;0),OR($B46&lt;&gt;Ref!$A$8,$H$57&gt;0)),COUNT(SEARCH(Sonderarbeit,$N46))&gt;=1)),C46="Ausgleich"),H46-F46,"")</f>
        <v/>
      </c>
      <c r="K46" s="166" t="str">
        <f>IF(AND(B46=Ref!$A$8,SUM(I40:I46)&lt;SUM(J40:J46)),"-","")</f>
        <v/>
      </c>
      <c r="L46" s="167" t="str">
        <f>IF(B46=Ref!$A$8,ABS(SUM(I40:I46)-SUM(J40:J46)),"")</f>
        <v/>
      </c>
    </row>
    <row r="47" spans="1:14" ht="17.45" customHeight="1" x14ac:dyDescent="0.35">
      <c r="A47" s="155">
        <v>29</v>
      </c>
      <c r="B47" s="156" t="str">
        <f t="shared" si="1"/>
        <v>Sonntag</v>
      </c>
      <c r="C47" s="157">
        <v>0.35416666666666669</v>
      </c>
      <c r="D47" s="157">
        <v>0.70833333333333337</v>
      </c>
      <c r="E47" s="157">
        <v>2.0833333333333332E-2</v>
      </c>
      <c r="F47" s="158">
        <f>IF(ISTEXT(C47),,D47-C47-E47)</f>
        <v>0.33333333333333337</v>
      </c>
      <c r="G47" s="159"/>
      <c r="H47" s="160">
        <f t="shared" si="2"/>
        <v>0</v>
      </c>
      <c r="I47" s="161" t="str" cm="1">
        <f t="array" ref="I47">IF(AND(F47&gt;H47,OR(AND(OR($B47&lt;&gt;Ref!$A$7,$H$56&gt;0),OR($B47&lt;&gt;Ref!$A$8,$H$57&gt;0)),COUNT(SEARCH(Sonderarbeit,$N47))&gt;=1),ISNONTEXT(C47),C47&lt;&gt;""),F47-H47,"")</f>
        <v/>
      </c>
      <c r="J47" s="162" t="str" cm="1">
        <f t="array" ref="J47">IF(OR(AND(F47&lt;H47,OR(AND(OR($B47&lt;&gt;Ref!$A$7,$H$56&gt;0),OR($B47&lt;&gt;Ref!$A$8,$H$57&gt;0)),COUNT(SEARCH(Sonderarbeit,$N47))&gt;=1)),C47="Ausgleich"),H47-F47,"")</f>
        <v/>
      </c>
      <c r="K47" s="166" t="str">
        <f>IF(AND(B47=Ref!$A$8,SUM(I41:I47)&lt;SUM(J41:J47)),"-","")</f>
        <v/>
      </c>
      <c r="L47" s="167">
        <f>IF(B47=Ref!$A$8,ABS(SUM(I41:I47)-SUM(J41:J47)),"")</f>
        <v>2.083333333333337E-2</v>
      </c>
    </row>
    <row r="48" spans="1:14" ht="17.45" customHeight="1" x14ac:dyDescent="0.35">
      <c r="A48" s="155">
        <v>30</v>
      </c>
      <c r="B48" s="156" t="str">
        <f t="shared" si="1"/>
        <v>Montag</v>
      </c>
      <c r="C48" s="157">
        <v>0.35416666666666669</v>
      </c>
      <c r="D48" s="157">
        <v>0.70833333333333337</v>
      </c>
      <c r="E48" s="157">
        <v>2.0833333333333332E-2</v>
      </c>
      <c r="F48" s="158">
        <f>IF(ISTEXT(C48),,D48-C48-E48)</f>
        <v>0.33333333333333337</v>
      </c>
      <c r="G48" s="159"/>
      <c r="H48" s="160">
        <f t="shared" si="2"/>
        <v>0.33333333333333331</v>
      </c>
      <c r="I48" s="161" t="str" cm="1">
        <f t="array" ref="I48">IF(AND(F48&gt;H48,OR(AND(OR($B48&lt;&gt;Ref!$A$7,$H$56&gt;0),OR($B48&lt;&gt;Ref!$A$8,$H$57&gt;0)),COUNT(SEARCH(Sonderarbeit,$N48))&gt;=1),ISNONTEXT(C48),C48&lt;&gt;""),F48-H48,"")</f>
        <v/>
      </c>
      <c r="J48" s="162" t="str" cm="1">
        <f t="array" ref="J48">IF(OR(AND(F48&lt;H48,OR(AND(OR($B48&lt;&gt;Ref!$A$7,$H$56&gt;0),OR($B48&lt;&gt;Ref!$A$8,$H$57&gt;0)),COUNT(SEARCH(Sonderarbeit,$N48))&gt;=1)),C48="Ausgleich"),H48-F48,"")</f>
        <v/>
      </c>
      <c r="K48" s="166" t="str">
        <f>IF(AND(B48=Ref!$A$8,SUM(I42:I48)&lt;SUM(J42:J48)),"-","")</f>
        <v/>
      </c>
      <c r="L48" s="167" t="str">
        <f>IF(B48=Ref!$A$8,ABS(SUM(I42:I48)-SUM(J42:J48)),"")</f>
        <v/>
      </c>
      <c r="N48" s="100" t="s">
        <v>122</v>
      </c>
    </row>
    <row r="49" spans="1:14" ht="17.45" customHeight="1" x14ac:dyDescent="0.35">
      <c r="A49" s="155">
        <v>31</v>
      </c>
      <c r="B49" s="156" t="str">
        <f t="shared" si="1"/>
        <v>Dienstag</v>
      </c>
      <c r="C49" s="157">
        <v>0.35416666666666669</v>
      </c>
      <c r="D49" s="157">
        <v>0.70833333333333337</v>
      </c>
      <c r="E49" s="157">
        <v>2.0833333333333332E-2</v>
      </c>
      <c r="F49" s="170">
        <f>IF(ISTEXT(C49),,D49-C49-E49)</f>
        <v>0.33333333333333337</v>
      </c>
      <c r="G49" s="171"/>
      <c r="H49" s="160">
        <f t="shared" si="2"/>
        <v>0.33333333333333331</v>
      </c>
      <c r="I49" s="161" t="str" cm="1">
        <f t="array" ref="I49">IF(AND(F49&gt;H49,OR(AND(OR($B49&lt;&gt;Ref!$A$7,$H$56&gt;0),OR($B49&lt;&gt;Ref!$A$8,$H$57&gt;0)),COUNT(SEARCH(Sonderarbeit,$N49))&gt;=1),ISNONTEXT(C49),C49&lt;&gt;""),F49-H49,"")</f>
        <v/>
      </c>
      <c r="J49" s="162" t="str" cm="1">
        <f t="array" ref="J49">IF(OR(AND(F49&lt;H49,OR(AND(OR($B49&lt;&gt;Ref!$A$7,$H$56&gt;0),OR($B49&lt;&gt;Ref!$A$8,$H$57&gt;0)),COUNT(SEARCH(Sonderarbeit,$N49))&gt;=1)),C49="Ausgleich"),H49-F49,"")</f>
        <v/>
      </c>
      <c r="K49" s="172" t="str">
        <f ca="1">IF(SUM(INDIRECT("I"&amp;ROW()-WEEKDAY(DATE(J$11,MONTH(I$11),A49),3)):I49) &lt; SUM(INDIRECT("j"&amp;ROW()-WEEKDAY(DATE(J$11,MONTH(I$11),A49),3)):J49),"-","")</f>
        <v/>
      </c>
      <c r="L49" s="173">
        <f ca="1">ABS(SUM(INDIRECT("I"&amp;ROW()-WEEKDAY(DATE(J$11,MONTH(I$11),A49),3)):I49)-SUM(INDIRECT("j"&amp;ROW()-WEEKDAY(DATE(J$11,MONTH(I$11),A49))):J49))</f>
        <v>0</v>
      </c>
      <c r="N49" s="174"/>
    </row>
    <row r="50" spans="1:14" s="183" customFormat="1" ht="17.45" customHeight="1" thickBot="1" x14ac:dyDescent="0.4">
      <c r="A50" s="175" t="str">
        <f>Jan!A50</f>
        <v>Sonstige Zeiten laut beigefügter Aufstellung (s. Anlage):</v>
      </c>
      <c r="B50" s="176"/>
      <c r="C50" s="177"/>
      <c r="D50" s="178"/>
      <c r="E50" s="178"/>
      <c r="F50" s="178"/>
      <c r="G50" s="178"/>
      <c r="H50" s="179"/>
      <c r="I50" s="180">
        <v>0</v>
      </c>
      <c r="J50" s="180">
        <v>0</v>
      </c>
      <c r="K50" s="181"/>
      <c r="L50" s="182"/>
      <c r="M50" s="99"/>
      <c r="N50" s="100"/>
    </row>
    <row r="51" spans="1:14" x14ac:dyDescent="0.2">
      <c r="A51" s="184" t="s">
        <v>3</v>
      </c>
      <c r="B51" s="184"/>
      <c r="C51" s="184"/>
      <c r="D51" s="184"/>
      <c r="H51" s="280">
        <f>Feb!H48</f>
        <v>0.33333333333333331</v>
      </c>
      <c r="I51" s="185">
        <f>SUM(I17:I50)</f>
        <v>0.60416666666666718</v>
      </c>
      <c r="J51" s="186">
        <f>SUM(J17:J50)</f>
        <v>0</v>
      </c>
      <c r="K51" s="187" t="str">
        <f ca="1">IF(SUMIF(K19:K49,"",L19:L49)&lt;SUMIF(K19:K49,"-",L19:L49),"-","")</f>
        <v/>
      </c>
      <c r="L51" s="188">
        <f ca="1">ABS(SUMIF(K19:K49,"",L19:L49)-SUMIF(K19:K49,"-",L19:L49))</f>
        <v>8.3333333333333481E-2</v>
      </c>
    </row>
    <row r="52" spans="1:14" ht="13.5" thickBot="1" x14ac:dyDescent="0.25">
      <c r="A52" s="189"/>
      <c r="B52" s="189"/>
      <c r="C52" s="189"/>
      <c r="D52" s="189"/>
      <c r="G52" s="190" t="s">
        <v>12</v>
      </c>
      <c r="H52" s="281">
        <f>Feb!H49</f>
        <v>0.33333333333333331</v>
      </c>
      <c r="I52" s="191"/>
      <c r="J52" s="192"/>
      <c r="K52" s="193"/>
      <c r="L52" s="194"/>
    </row>
    <row r="53" spans="1:14" x14ac:dyDescent="0.2">
      <c r="A53" s="189"/>
      <c r="B53" s="189"/>
      <c r="C53" s="189"/>
      <c r="D53" s="189"/>
      <c r="G53" s="195"/>
      <c r="H53" s="281">
        <f>Feb!H50</f>
        <v>0.33333333333333331</v>
      </c>
      <c r="I53" s="196">
        <f>IF(I51&gt;J51,I51-J51,0)</f>
        <v>0.60416666666666718</v>
      </c>
      <c r="J53" s="197" t="str">
        <f>IF(J51&gt;I51,J51-I51,"")</f>
        <v/>
      </c>
      <c r="K53" s="198"/>
      <c r="L53" s="198"/>
    </row>
    <row r="54" spans="1:14" ht="13.5" thickBot="1" x14ac:dyDescent="0.25">
      <c r="A54" s="199" t="s">
        <v>15</v>
      </c>
      <c r="B54" s="199"/>
      <c r="C54" s="199"/>
      <c r="D54" s="199"/>
      <c r="E54" s="200"/>
      <c r="F54" s="200"/>
      <c r="G54" s="190" t="s">
        <v>13</v>
      </c>
      <c r="H54" s="281">
        <f>Feb!H51</f>
        <v>0.33333333333333331</v>
      </c>
      <c r="I54" s="201"/>
      <c r="J54" s="202"/>
      <c r="K54" s="198"/>
      <c r="L54" s="198"/>
    </row>
    <row r="55" spans="1:14" ht="13.5" thickBot="1" x14ac:dyDescent="0.25">
      <c r="A55" s="203" t="s">
        <v>4</v>
      </c>
      <c r="B55" s="203"/>
      <c r="C55" s="203"/>
      <c r="D55" s="203"/>
      <c r="E55" s="200"/>
      <c r="F55" s="200"/>
      <c r="G55" s="200"/>
      <c r="H55" s="281">
        <f>Feb!H52</f>
        <v>0.3125</v>
      </c>
      <c r="I55" s="200"/>
      <c r="J55" s="200"/>
      <c r="K55" s="204"/>
      <c r="L55" s="204"/>
    </row>
    <row r="56" spans="1:14" ht="13.35" customHeight="1" x14ac:dyDescent="0.2">
      <c r="A56" s="189"/>
      <c r="B56" s="189"/>
      <c r="C56" s="189"/>
      <c r="D56" s="189"/>
      <c r="E56" s="205" t="str">
        <f>Jan!E56</f>
        <v xml:space="preserve"> </v>
      </c>
      <c r="F56" s="206"/>
      <c r="G56" s="207" t="str">
        <f>IF(E56=" ", " ", IF(Mantelbogen!D26=I11,Mantelbogen!C29,Feb!G55))</f>
        <v xml:space="preserve"> </v>
      </c>
      <c r="H56" s="282">
        <v>0</v>
      </c>
      <c r="I56" s="223" t="s">
        <v>133</v>
      </c>
      <c r="J56" s="224"/>
      <c r="K56" s="204"/>
      <c r="L56" s="204"/>
    </row>
    <row r="57" spans="1:14" ht="13.5" thickBot="1" x14ac:dyDescent="0.25">
      <c r="A57" s="189"/>
      <c r="B57" s="189"/>
      <c r="C57" s="189"/>
      <c r="D57" s="189"/>
      <c r="E57" s="205" t="str">
        <f>Jan!E57</f>
        <v xml:space="preserve"> </v>
      </c>
      <c r="F57" s="207"/>
      <c r="G57" s="207" t="str">
        <f>IF(E56=" ", " ", -COUNTIF(C19:C49, "Urlaub*" ))</f>
        <v xml:space="preserve"> </v>
      </c>
      <c r="H57" s="283">
        <v>0</v>
      </c>
      <c r="I57" s="225"/>
      <c r="J57" s="226"/>
      <c r="K57" s="204"/>
      <c r="L57" s="208"/>
      <c r="M57" s="209"/>
    </row>
    <row r="58" spans="1:14" ht="21.95" customHeight="1" thickBot="1" x14ac:dyDescent="0.25">
      <c r="A58" s="199" t="s">
        <v>10</v>
      </c>
      <c r="B58" s="199"/>
      <c r="C58" s="199"/>
      <c r="D58" s="199"/>
      <c r="E58" s="205" t="str">
        <f>Jan!E58</f>
        <v xml:space="preserve"> </v>
      </c>
      <c r="F58" s="210"/>
      <c r="G58" s="211" t="str">
        <f>IF(E56=" ", " ", IF(Mantelbogen!C29 &gt; 0.0001, G56+G57, 0))</f>
        <v xml:space="preserve"> </v>
      </c>
      <c r="H58" s="287">
        <f>SUM(H51:H57)</f>
        <v>1.6458333333333333</v>
      </c>
      <c r="I58" s="227"/>
      <c r="J58" s="228"/>
      <c r="L58" s="212" t="str">
        <f>Mantelbogen!D50</f>
        <v>15.12.2025  HAdW / G. Wolff</v>
      </c>
      <c r="M58" s="209"/>
    </row>
    <row r="59" spans="1:14" x14ac:dyDescent="0.2">
      <c r="F59" s="213"/>
    </row>
    <row r="60" spans="1:14" x14ac:dyDescent="0.2">
      <c r="G60" s="214"/>
      <c r="H60" s="214"/>
      <c r="I60" s="214"/>
      <c r="J60" s="207"/>
    </row>
  </sheetData>
  <sheetProtection algorithmName="SHA-512" hashValue="mJUtth8AktcNlwU29l83I7lx8PVNppSjJO5jdiEeRRDH8JnIlBrhNC1kESDOvxr+9LUSraI60sywLSWULCpcbA==" saltValue="NcVrSmcsuhIjUp4+gusJmA==" spinCount="100000" sheet="1" objects="1" scenarios="1"/>
  <mergeCells count="64">
    <mergeCell ref="A51:D51"/>
    <mergeCell ref="A1:F2"/>
    <mergeCell ref="A3:F3"/>
    <mergeCell ref="A4:F6"/>
    <mergeCell ref="M15:M16"/>
    <mergeCell ref="G1:J7"/>
    <mergeCell ref="I15:J15"/>
    <mergeCell ref="I17:I18"/>
    <mergeCell ref="J17:J18"/>
    <mergeCell ref="C15:C18"/>
    <mergeCell ref="D15:D18"/>
    <mergeCell ref="E15:E18"/>
    <mergeCell ref="F15:G18"/>
    <mergeCell ref="A11:B11"/>
    <mergeCell ref="A13:B13"/>
    <mergeCell ref="A15:A18"/>
    <mergeCell ref="B15:B18"/>
    <mergeCell ref="F24:G24"/>
    <mergeCell ref="H15:H18"/>
    <mergeCell ref="F25:G25"/>
    <mergeCell ref="F20:G20"/>
    <mergeCell ref="F19:G19"/>
    <mergeCell ref="F22:G22"/>
    <mergeCell ref="F23:G23"/>
    <mergeCell ref="F21:G21"/>
    <mergeCell ref="F32:G32"/>
    <mergeCell ref="F33:G33"/>
    <mergeCell ref="F34:G34"/>
    <mergeCell ref="F35:G35"/>
    <mergeCell ref="F26:G26"/>
    <mergeCell ref="F29:G29"/>
    <mergeCell ref="F30:G30"/>
    <mergeCell ref="F31:G31"/>
    <mergeCell ref="F27:G27"/>
    <mergeCell ref="F28:G28"/>
    <mergeCell ref="F43:G43"/>
    <mergeCell ref="F36:G36"/>
    <mergeCell ref="F37:G37"/>
    <mergeCell ref="F38:G38"/>
    <mergeCell ref="F39:G39"/>
    <mergeCell ref="A54:D54"/>
    <mergeCell ref="G60:I60"/>
    <mergeCell ref="A55:D55"/>
    <mergeCell ref="A56:D57"/>
    <mergeCell ref="I56:J58"/>
    <mergeCell ref="A58:D58"/>
    <mergeCell ref="J53:J54"/>
    <mergeCell ref="I53:I54"/>
    <mergeCell ref="A52:D53"/>
    <mergeCell ref="F48:G48"/>
    <mergeCell ref="F49:G49"/>
    <mergeCell ref="I51:I52"/>
    <mergeCell ref="K15:L16"/>
    <mergeCell ref="K17:L18"/>
    <mergeCell ref="K51:K52"/>
    <mergeCell ref="L51:L52"/>
    <mergeCell ref="J51:J52"/>
    <mergeCell ref="F44:G44"/>
    <mergeCell ref="F45:G45"/>
    <mergeCell ref="F46:G46"/>
    <mergeCell ref="F47:G47"/>
    <mergeCell ref="F40:G40"/>
    <mergeCell ref="F41:G41"/>
    <mergeCell ref="F42:G42"/>
  </mergeCells>
  <phoneticPr fontId="0" type="noConversion"/>
  <conditionalFormatting sqref="A19:A49 C19:L49">
    <cfRule type="expression" dxfId="106" priority="1">
      <formula>COUNT(SEARCH(Sonderarbeit,$N19))&gt;=1</formula>
    </cfRule>
  </conditionalFormatting>
  <conditionalFormatting sqref="A19:L49">
    <cfRule type="expression" dxfId="105" priority="5">
      <formula>AND(ISTEXT($C19),$C19&lt;&gt;"Kinderkrankentag",$C19&lt;&gt;"Urlaub",$C19&lt;&gt;"Krank",$C19&lt;&gt;"Ausgleich")</formula>
    </cfRule>
  </conditionalFormatting>
  <conditionalFormatting sqref="C19:C49">
    <cfRule type="expression" dxfId="103" priority="7">
      <formula>ISTEXT($C19)</formula>
    </cfRule>
  </conditionalFormatting>
  <conditionalFormatting sqref="D19:H49">
    <cfRule type="expression" dxfId="99" priority="4">
      <formula>AND(ISTEXT($C19),OR($C19="Kinderkrankentag",$C19="Urlaub",$C19="Krank",$C19="Ausgleich"))</formula>
    </cfRule>
  </conditionalFormatting>
  <conditionalFormatting sqref="D19:J49">
    <cfRule type="expression" dxfId="98" priority="3">
      <formula>AND(ISTEXT($C19),$C19&lt;&gt;"Kinderkrankentag",$C19&lt;&gt;"Urlaub",$C19&lt;&gt;"Krank",$C19&lt;&gt;"Ausgleich")</formula>
    </cfRule>
  </conditionalFormatting>
  <conditionalFormatting sqref="F19:F49">
    <cfRule type="expression" dxfId="96" priority="11">
      <formula>AND(ISNONTEXT($C19),$F19 &gt; 0.666667)</formula>
    </cfRule>
  </conditionalFormatting>
  <dataValidations count="1">
    <dataValidation type="custom" errorStyle="warning" allowBlank="1" showErrorMessage="1" errorTitle="Samstagsarbeit" error="Tragen Sie hier bitte nur etwas ein, wenn Sie tatsächlich REGELMÄßIG und angeordnet Samstag arbeiten. Ansonsten tragen Sie bitte am entsprechenden Tag in Spalte N „Samstagsarbeit“ ein und der entsprechende Tag wird verfügbar." promptTitle="Samstagsarbeit" prompt="Tragen Sie hier bitte nur etwas ein, wenn Sie tatsächlich REGELMÄßIG und angeordnet Samstag arbeiten. Ansonsten tragen Sie bitte am entsprechenden Tag in Spalte N „Samstagsarbeit“ ein und der entsprechende Tag wird verfügbar." sqref="H56" xr:uid="{6D05DD9C-E9C0-49E6-9586-BA6B3C159B87}">
      <formula1>$A$4="Arbeitszeitblatt"</formula1>
    </dataValidation>
  </dataValidations>
  <printOptions horizontalCentered="1" verticalCentered="1"/>
  <pageMargins left="1.0236220472440944" right="0.23622047244094491" top="0.15748031496062992" bottom="0.19685039370078741" header="0.15748031496062992" footer="0.15748031496062992"/>
  <pageSetup paperSize="9" scale="82" orientation="portrait" horizontalDpi="1200" verticalDpi="1200"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 id="{90B43885-773E-4276-833B-37E071F85E0A}">
            <xm:f>OR(AND($B19=Ref!$A$7,$H$56=0), AND($B19=Ref!$A$8,$H$57=0), NOT( ISERROR(FIND("feiertag",LOWER($C19)) ) ) )</xm:f>
            <x14:dxf>
              <fill>
                <patternFill patternType="solid">
                  <bgColor theme="4" tint="0.79998168889431442"/>
                </patternFill>
              </fill>
            </x14:dxf>
          </x14:cfRule>
          <xm:sqref>A19:L49</xm:sqref>
        </x14:conditionalFormatting>
        <x14:conditionalFormatting xmlns:xm="http://schemas.microsoft.com/office/excel/2006/main">
          <x14:cfRule type="expression" priority="9" id="{437482FD-DD90-4052-A636-09C220D7CE3C}">
            <xm:f>AND($B19=Ref!$A$7, $H$56&gt;0.00001)</xm:f>
            <x14:dxf>
              <font>
                <b val="0"/>
                <i val="0"/>
                <color theme="1"/>
              </font>
              <fill>
                <patternFill patternType="none">
                  <bgColor auto="1"/>
                </patternFill>
              </fill>
            </x14:dxf>
          </x14:cfRule>
          <x14:cfRule type="expression" priority="10" id="{59E2D8A1-B27F-413C-80CD-A403DBCADD1F}">
            <xm:f>AND($B19=Ref!$A$8, $H$57&gt;0.00001)</xm:f>
            <x14:dxf>
              <font>
                <b val="0"/>
                <i val="0"/>
              </font>
              <fill>
                <patternFill patternType="none">
                  <bgColor auto="1"/>
                </patternFill>
              </fill>
            </x14:dxf>
          </x14:cfRule>
          <xm:sqref>C19:I49</xm:sqref>
        </x14:conditionalFormatting>
        <x14:conditionalFormatting xmlns:xm="http://schemas.microsoft.com/office/excel/2006/main">
          <x14:cfRule type="expression" priority="8" id="{96BD7A43-A5E0-4511-8022-9A7C5D90F104}">
            <xm:f>OR(AND($B19=Ref!$A$7, $H$56&lt;0.00001),AND($B19=Ref!$A$8, $H$57&lt;0.00001))</xm:f>
            <x14:dxf>
              <font>
                <color theme="4" tint="0.79998168889431442"/>
              </font>
              <fill>
                <patternFill>
                  <bgColor theme="4" tint="0.79998168889431442"/>
                </patternFill>
              </fill>
            </x14:dxf>
          </x14:cfRule>
          <xm:sqref>C19:J49</xm:sqref>
        </x14:conditionalFormatting>
        <x14:conditionalFormatting xmlns:xm="http://schemas.microsoft.com/office/excel/2006/main">
          <x14:cfRule type="expression" priority="2" id="{339940EB-2F35-4BCC-95A9-BF2F5F0DB2B2}">
            <xm:f>AND(OR(AND($F19 &gt; 0.250001, $E19 &lt; 0.020833332), AND($F19 &gt; 0.375, $E19 &lt; 0.03124999)  ),OR(AND($B19&lt;&gt;Ref!$A$7, $B19&lt;&gt;Ref!$A$8),COUNT(SEARCH(Sonderarbeit,$N19))&gt;=1),ISNUMBER($C19))</xm:f>
            <x14:dxf>
              <fill>
                <patternFill>
                  <bgColor rgb="FFFF0000"/>
                </patternFill>
              </fill>
            </x14:dxf>
          </x14:cfRule>
          <xm:sqref>E19:E49</xm:sqref>
        </x14:conditionalFormatting>
      </x14:conditionalFormattings>
    </ext>
    <ext xmlns:x14="http://schemas.microsoft.com/office/spreadsheetml/2009/9/main" uri="{CCE6A557-97BC-4b89-ADB6-D9C93CAAB3DF}">
      <x14:dataValidations xmlns:xm="http://schemas.microsoft.com/office/excel/2006/main" count="1">
        <x14:dataValidation type="custom" errorStyle="information" allowBlank="1" showInputMessage="1" showErrorMessage="1" errorTitle="Samstagsarbeit" error="Tragen Sie hier bitte nur die tasächlich angefallene Arbeit ein. Tragen Sie ggf. anfallende Zuschläge auf ein separates Tabellenblatt ein und übertragen diese in das Kästchen I50." xr:uid="{0FC75535-C6C7-47E0-851B-16D61D2745CE}">
          <x14:formula1>
            <xm:f>NOT(OFFSET(C19,0,2-COLUMN(C19))=Ref!$A$7)</xm:f>
          </x14:formula1>
          <xm:sqref>C19:E49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pageSetUpPr fitToPage="1"/>
  </sheetPr>
  <dimension ref="A1:N61"/>
  <sheetViews>
    <sheetView zoomScaleNormal="100" workbookViewId="0">
      <selection sqref="A1:F2"/>
    </sheetView>
  </sheetViews>
  <sheetFormatPr defaultColWidth="11.5703125" defaultRowHeight="12.75" x14ac:dyDescent="0.2"/>
  <cols>
    <col min="1" max="1" width="5.5703125" style="125" customWidth="1"/>
    <col min="2" max="2" width="9.85546875" style="102" bestFit="1" customWidth="1"/>
    <col min="3" max="3" width="15.7109375" style="102" bestFit="1" customWidth="1"/>
    <col min="4" max="4" width="13.7109375" style="102" bestFit="1" customWidth="1"/>
    <col min="5" max="5" width="8.5703125" style="98" customWidth="1"/>
    <col min="6" max="6" width="7.140625" style="98" customWidth="1"/>
    <col min="7" max="7" width="3.5703125" style="98" customWidth="1"/>
    <col min="8" max="8" width="9.140625" style="98" customWidth="1"/>
    <col min="9" max="9" width="11" style="98" bestFit="1" customWidth="1"/>
    <col min="10" max="10" width="12.140625" style="98" bestFit="1" customWidth="1"/>
    <col min="11" max="11" width="2.85546875" style="98" customWidth="1"/>
    <col min="12" max="12" width="8.85546875" style="98" customWidth="1"/>
    <col min="13" max="13" width="16.42578125" style="99" customWidth="1"/>
    <col min="14" max="14" width="18.140625" style="99" customWidth="1"/>
    <col min="15" max="16384" width="11.5703125" style="98"/>
  </cols>
  <sheetData>
    <row r="1" spans="1:14" ht="15.6" customHeight="1" x14ac:dyDescent="0.2">
      <c r="A1" s="215" t="s">
        <v>48</v>
      </c>
      <c r="B1" s="215"/>
      <c r="C1" s="215"/>
      <c r="D1" s="215"/>
      <c r="E1" s="215"/>
      <c r="F1" s="215"/>
      <c r="G1" s="97" t="s">
        <v>9</v>
      </c>
      <c r="H1" s="97"/>
      <c r="I1" s="97"/>
      <c r="J1" s="97"/>
    </row>
    <row r="2" spans="1:14" ht="15.6" customHeight="1" x14ac:dyDescent="0.2">
      <c r="A2" s="215"/>
      <c r="B2" s="215"/>
      <c r="C2" s="215"/>
      <c r="D2" s="215"/>
      <c r="E2" s="215"/>
      <c r="F2" s="215"/>
      <c r="G2" s="97"/>
      <c r="H2" s="97"/>
      <c r="I2" s="97"/>
      <c r="J2" s="97"/>
    </row>
    <row r="3" spans="1:14" x14ac:dyDescent="0.2">
      <c r="A3" s="216" t="s">
        <v>11</v>
      </c>
      <c r="B3" s="216"/>
      <c r="C3" s="216"/>
      <c r="D3" s="216"/>
      <c r="E3" s="216"/>
      <c r="F3" s="216"/>
      <c r="G3" s="97"/>
      <c r="H3" s="97"/>
      <c r="I3" s="97"/>
      <c r="J3" s="97"/>
    </row>
    <row r="4" spans="1:14" ht="13.35" customHeight="1" x14ac:dyDescent="0.2">
      <c r="A4" s="217" t="s">
        <v>5</v>
      </c>
      <c r="B4" s="217"/>
      <c r="C4" s="217"/>
      <c r="D4" s="217"/>
      <c r="E4" s="217"/>
      <c r="F4" s="217"/>
      <c r="G4" s="97"/>
      <c r="H4" s="97"/>
      <c r="I4" s="97"/>
      <c r="J4" s="97"/>
    </row>
    <row r="5" spans="1:14" ht="6" customHeight="1" x14ac:dyDescent="0.2">
      <c r="A5" s="217"/>
      <c r="B5" s="217"/>
      <c r="C5" s="217"/>
      <c r="D5" s="217"/>
      <c r="E5" s="217"/>
      <c r="F5" s="217"/>
      <c r="G5" s="97"/>
      <c r="H5" s="97"/>
      <c r="I5" s="97"/>
      <c r="J5" s="97"/>
    </row>
    <row r="6" spans="1:14" ht="13.35" customHeight="1" x14ac:dyDescent="0.2">
      <c r="A6" s="217"/>
      <c r="B6" s="217"/>
      <c r="C6" s="217"/>
      <c r="D6" s="217"/>
      <c r="E6" s="217"/>
      <c r="F6" s="217"/>
      <c r="G6" s="97"/>
      <c r="H6" s="97"/>
      <c r="I6" s="97"/>
      <c r="J6" s="97"/>
    </row>
    <row r="7" spans="1:14" ht="13.35" customHeight="1" x14ac:dyDescent="0.2">
      <c r="A7" s="101"/>
      <c r="B7" s="101"/>
      <c r="C7" s="101"/>
      <c r="D7" s="101"/>
      <c r="E7" s="101"/>
      <c r="F7" s="101"/>
      <c r="G7" s="97"/>
      <c r="H7" s="97"/>
      <c r="I7" s="97"/>
      <c r="J7" s="97"/>
    </row>
    <row r="8" spans="1:14" ht="6" customHeight="1" thickBot="1" x14ac:dyDescent="0.25">
      <c r="A8" s="103"/>
      <c r="B8" s="104"/>
      <c r="C8" s="104"/>
      <c r="D8" s="104"/>
      <c r="E8" s="105"/>
      <c r="F8" s="105"/>
      <c r="G8" s="105"/>
      <c r="H8" s="105"/>
      <c r="I8" s="106"/>
      <c r="J8" s="106"/>
      <c r="K8" s="107"/>
      <c r="L8" s="108"/>
    </row>
    <row r="9" spans="1:14" ht="6" customHeight="1" x14ac:dyDescent="0.2">
      <c r="A9" s="109"/>
      <c r="B9" s="110"/>
      <c r="C9" s="110"/>
      <c r="D9" s="110"/>
      <c r="E9" s="111"/>
      <c r="F9" s="111"/>
      <c r="G9" s="111"/>
      <c r="H9" s="111"/>
      <c r="I9" s="112"/>
      <c r="J9" s="112"/>
      <c r="K9" s="113"/>
      <c r="L9" s="114"/>
    </row>
    <row r="10" spans="1:14" x14ac:dyDescent="0.2">
      <c r="A10" s="109"/>
      <c r="B10" s="110"/>
      <c r="C10" s="110"/>
      <c r="D10" s="110"/>
      <c r="E10" s="111"/>
      <c r="F10" s="111"/>
      <c r="G10" s="111"/>
      <c r="I10" s="112"/>
      <c r="J10" s="112"/>
      <c r="K10" s="113"/>
      <c r="L10" s="114"/>
    </row>
    <row r="11" spans="1:14" x14ac:dyDescent="0.2">
      <c r="A11" s="115" t="s">
        <v>6</v>
      </c>
      <c r="B11" s="115"/>
      <c r="C11" s="116" t="str">
        <f>Mar!C11</f>
        <v>ATHENE, Pallas</v>
      </c>
      <c r="D11" s="117"/>
      <c r="E11" s="118"/>
      <c r="F11" s="119"/>
      <c r="G11" s="119" t="s">
        <v>8</v>
      </c>
      <c r="H11" s="120"/>
      <c r="I11" s="121">
        <f>DATE(J11,4,1)</f>
        <v>46113</v>
      </c>
      <c r="J11" s="122">
        <f>Jan!J11</f>
        <v>2026</v>
      </c>
      <c r="K11" s="123"/>
      <c r="L11" s="124"/>
    </row>
    <row r="12" spans="1:14" ht="12.95" customHeight="1" x14ac:dyDescent="0.2">
      <c r="B12" s="114"/>
      <c r="C12" s="126"/>
      <c r="D12" s="127"/>
      <c r="E12" s="119"/>
      <c r="F12" s="119"/>
      <c r="G12" s="111"/>
      <c r="I12" s="220" t="s">
        <v>105</v>
      </c>
      <c r="J12" s="220"/>
      <c r="K12" s="220"/>
      <c r="L12" s="220"/>
    </row>
    <row r="13" spans="1:14" x14ac:dyDescent="0.2">
      <c r="A13" s="115" t="s">
        <v>7</v>
      </c>
      <c r="B13" s="115"/>
      <c r="C13" s="116" t="str">
        <f>Mar!C13</f>
        <v>Geschäftsstelle</v>
      </c>
      <c r="D13" s="130"/>
      <c r="E13" s="118"/>
      <c r="F13" s="131"/>
      <c r="G13" s="131"/>
      <c r="H13" s="120"/>
      <c r="I13" s="229"/>
      <c r="J13" s="229"/>
      <c r="K13" s="229"/>
      <c r="L13" s="229"/>
    </row>
    <row r="14" spans="1:14" ht="13.5" thickBot="1" x14ac:dyDescent="0.25">
      <c r="K14" s="113"/>
      <c r="L14" s="114"/>
    </row>
    <row r="15" spans="1:14" ht="13.35" customHeight="1" x14ac:dyDescent="0.2">
      <c r="A15" s="231"/>
      <c r="B15" s="231" t="s">
        <v>14</v>
      </c>
      <c r="C15" s="231" t="s">
        <v>110</v>
      </c>
      <c r="D15" s="231" t="s">
        <v>145</v>
      </c>
      <c r="E15" s="231" t="s">
        <v>16</v>
      </c>
      <c r="F15" s="133" t="s">
        <v>143</v>
      </c>
      <c r="G15" s="133"/>
      <c r="H15" s="134" t="s">
        <v>43</v>
      </c>
      <c r="I15" s="136" t="s">
        <v>0</v>
      </c>
      <c r="J15" s="136"/>
      <c r="K15" s="137" t="s">
        <v>41</v>
      </c>
      <c r="L15" s="138"/>
    </row>
    <row r="16" spans="1:14" ht="13.5" thickBot="1" x14ac:dyDescent="0.25">
      <c r="A16" s="237"/>
      <c r="B16" s="237"/>
      <c r="C16" s="237"/>
      <c r="D16" s="237"/>
      <c r="E16" s="237"/>
      <c r="F16" s="133"/>
      <c r="G16" s="133"/>
      <c r="H16" s="141"/>
      <c r="I16" s="143" t="s">
        <v>1</v>
      </c>
      <c r="J16" s="143" t="s">
        <v>2</v>
      </c>
      <c r="K16" s="144"/>
      <c r="L16" s="145"/>
      <c r="N16" s="285"/>
    </row>
    <row r="17" spans="1:14" ht="16.5" thickBot="1" x14ac:dyDescent="0.3">
      <c r="A17" s="237"/>
      <c r="B17" s="237"/>
      <c r="C17" s="237"/>
      <c r="D17" s="237"/>
      <c r="E17" s="237"/>
      <c r="F17" s="133"/>
      <c r="G17" s="133"/>
      <c r="H17" s="141"/>
      <c r="I17" s="147">
        <f>MIN(IF(Mantelbogen!D26=I11,Mantelbogen!C28,Mar!I53),Mantelbogen!D14)</f>
        <v>0.60416666666666718</v>
      </c>
      <c r="J17" s="148" t="str">
        <f>IF(Mantelbogen!D26=I11,Mantelbogen!D28,Mar!J53)</f>
        <v/>
      </c>
      <c r="K17" s="149" t="str">
        <f>IF(I17/H57 &gt; 1, I17/H57, " " )</f>
        <v xml:space="preserve"> </v>
      </c>
      <c r="L17" s="150"/>
      <c r="N17" s="241" t="str">
        <f>IF(Mar!$I$53 &gt; $I$17, CONCATENATE("Verlust von ",TEXT((Mar!$I$53-$I$17)*24,"#,0")), "" )</f>
        <v/>
      </c>
    </row>
    <row r="18" spans="1:14" ht="13.5" thickBot="1" x14ac:dyDescent="0.25">
      <c r="A18" s="246"/>
      <c r="B18" s="247"/>
      <c r="C18" s="247"/>
      <c r="D18" s="247"/>
      <c r="E18" s="247"/>
      <c r="F18" s="133"/>
      <c r="G18" s="133"/>
      <c r="H18" s="152"/>
      <c r="I18" s="147"/>
      <c r="J18" s="148"/>
      <c r="K18" s="153"/>
      <c r="L18" s="154"/>
      <c r="N18" s="245" t="str">
        <f>IF(Mar!$I$53 &gt; $I$17, "Überstunden !", " " )</f>
        <v xml:space="preserve"> </v>
      </c>
    </row>
    <row r="19" spans="1:14" ht="17.45" customHeight="1" x14ac:dyDescent="0.35">
      <c r="A19" s="155">
        <v>1</v>
      </c>
      <c r="B19" s="156" t="str">
        <f>TEXT(DATE(J$11,MONTH(I$11),A19),Textcode)</f>
        <v>Mittwoch</v>
      </c>
      <c r="C19" s="157">
        <v>0.35416666666666669</v>
      </c>
      <c r="D19" s="157">
        <v>0.70833333333333337</v>
      </c>
      <c r="E19" s="157">
        <v>2.0833333333333332E-2</v>
      </c>
      <c r="F19" s="158">
        <f>IF(ISTEXT(C19),,D19-C19-E19)</f>
        <v>0.33333333333333337</v>
      </c>
      <c r="G19" s="159"/>
      <c r="H19" s="160">
        <f t="shared" ref="H19:H35" si="0">IF(AND(ISTEXT(C19),ISERR(SEARCH("ausgleich",C19,1))),,INDEX(H$50:H$57,WEEKDAY(DATE(J$11,MONTH(I$11),A19),2),1,1))</f>
        <v>0.33333333333333331</v>
      </c>
      <c r="I19" s="161" t="str">
        <f t="array" ref="I19">IF(AND(F19&gt;H19,OR(AND(OR($B19&lt;&gt;Ref!$A$7,$H$55&gt;0),OR($B19&lt;&gt;Ref!$A$8,$H$56&gt;0)),COUNT(SEARCH(Sonderarbeit,$N19))&gt;=1),ISNONTEXT(C19),C19&lt;&gt;""),F19-H19,"")</f>
        <v/>
      </c>
      <c r="J19" s="162" t="str">
        <f t="array" ref="J19">IF(OR(AND(F19&lt;H19,OR(AND(OR($B19&lt;&gt;Ref!$A$7,$H$55&gt;0),OR($B19&lt;&gt;Ref!$A$8,$H$56&gt;0)),COUNT(SEARCH(Sonderarbeit,$N19))&gt;=1)),C19="Ausgleich"),H19-F19,"")</f>
        <v/>
      </c>
      <c r="K19" s="163" t="str">
        <f>IF(AND(B19=Ref!$A$8,SUM(I19:I19)&lt;SUM(J19:J19)),"-","")</f>
        <v/>
      </c>
      <c r="L19" s="164" t="str">
        <f>IF(B19=Ref!$A$8,ABS(SUM(I19:I19)-SUM(J19:J19)),"")</f>
        <v/>
      </c>
      <c r="N19" s="100"/>
    </row>
    <row r="20" spans="1:14" ht="17.45" customHeight="1" x14ac:dyDescent="0.35">
      <c r="A20" s="155">
        <v>2</v>
      </c>
      <c r="B20" s="156" t="str">
        <f t="shared" ref="B20:B48" si="1">TEXT(DATE(J$11,MONTH(I$11),A20),Textcode)</f>
        <v>Donnerstag</v>
      </c>
      <c r="C20" s="157">
        <v>0.35416666666666669</v>
      </c>
      <c r="D20" s="157">
        <v>0.70833333333333337</v>
      </c>
      <c r="E20" s="157">
        <v>2.0833333333333332E-2</v>
      </c>
      <c r="F20" s="158">
        <f t="shared" ref="F20:F48" si="2">IF(ISTEXT(C20),,D20-C20-E20)</f>
        <v>0.33333333333333337</v>
      </c>
      <c r="G20" s="159"/>
      <c r="H20" s="160">
        <f t="shared" si="0"/>
        <v>0.33333333333333331</v>
      </c>
      <c r="I20" s="161" t="str">
        <f t="array" ref="I20">IF(AND(F20&gt;H20,OR(AND(OR($B20&lt;&gt;Ref!$A$7,$H$55&gt;0),OR($B20&lt;&gt;Ref!$A$8,$H$56&gt;0)),COUNT(SEARCH(Sonderarbeit,$N20))&gt;=1),ISNONTEXT(C20),C20&lt;&gt;""),F20-H20,"")</f>
        <v/>
      </c>
      <c r="J20" s="162" t="str">
        <f t="array" ref="J20">IF(OR(AND(F20&lt;H20,OR(AND(OR($B20&lt;&gt;Ref!$A$7,$H$55&gt;0),OR($B20&lt;&gt;Ref!$A$8,$H$56&gt;0)),COUNT(SEARCH(Sonderarbeit,$N20))&gt;=1)),C20="Ausgleich"),H20-F20,"")</f>
        <v/>
      </c>
      <c r="K20" s="166" t="str">
        <f>IF(AND(B20=Ref!$A$8,SUM(I19:I20)&lt;SUM(J19:J20)),"-","")</f>
        <v/>
      </c>
      <c r="L20" s="167" t="str">
        <f>IF(B20=Ref!$A$8,ABS(SUM(I19:I20)-SUM(J19:J20)),"")</f>
        <v/>
      </c>
    </row>
    <row r="21" spans="1:14" ht="17.45" customHeight="1" x14ac:dyDescent="0.35">
      <c r="A21" s="155">
        <v>3</v>
      </c>
      <c r="B21" s="156" t="str">
        <f t="shared" si="1"/>
        <v>Freitag</v>
      </c>
      <c r="C21" s="157" t="s">
        <v>82</v>
      </c>
      <c r="D21" s="157">
        <v>0.70833333333333337</v>
      </c>
      <c r="E21" s="157">
        <v>2.0833333333333332E-2</v>
      </c>
      <c r="F21" s="158">
        <f t="shared" si="2"/>
        <v>0</v>
      </c>
      <c r="G21" s="159"/>
      <c r="H21" s="160">
        <f t="shared" si="0"/>
        <v>0</v>
      </c>
      <c r="I21" s="161" t="str">
        <f t="array" ref="I21">IF(AND(F21&gt;H21,OR(AND(OR($B21&lt;&gt;Ref!$A$7,$H$55&gt;0),OR($B21&lt;&gt;Ref!$A$8,$H$56&gt;0)),COUNT(SEARCH(Sonderarbeit,$N21))&gt;=1),ISNONTEXT(C21),C21&lt;&gt;""),F21-H21,"")</f>
        <v/>
      </c>
      <c r="J21" s="162" t="str">
        <f t="array" ref="J21">IF(OR(AND(F21&lt;H21,OR(AND(OR($B21&lt;&gt;Ref!$A$7,$H$55&gt;0),OR($B21&lt;&gt;Ref!$A$8,$H$56&gt;0)),COUNT(SEARCH(Sonderarbeit,$N21))&gt;=1)),C21="Ausgleich"),H21-F21,"")</f>
        <v/>
      </c>
      <c r="K21" s="166" t="str">
        <f>IF(AND(B21=Ref!$A$8,SUM(I19:I21)&lt;SUM(J19:J21)),"-","")</f>
        <v/>
      </c>
      <c r="L21" s="167" t="str">
        <f>IF(B21=Ref!$A$8,ABS(SUM(I19:I21)-SUM(J19:J21)),"")</f>
        <v/>
      </c>
    </row>
    <row r="22" spans="1:14" ht="17.45" customHeight="1" x14ac:dyDescent="0.35">
      <c r="A22" s="168">
        <v>4</v>
      </c>
      <c r="B22" s="156" t="str">
        <f t="shared" si="1"/>
        <v>Samstag</v>
      </c>
      <c r="C22" s="157">
        <v>0.35416666666666669</v>
      </c>
      <c r="D22" s="157">
        <v>0.70833333333333337</v>
      </c>
      <c r="E22" s="157">
        <v>2.0833333333333332E-2</v>
      </c>
      <c r="F22" s="158">
        <f t="shared" si="2"/>
        <v>0.33333333333333337</v>
      </c>
      <c r="G22" s="159"/>
      <c r="H22" s="160">
        <f t="shared" si="0"/>
        <v>0</v>
      </c>
      <c r="I22" s="161" t="str">
        <f t="array" ref="I22">IF(AND(F22&gt;H22,OR(AND(OR($B22&lt;&gt;Ref!$A$7,$H$55&gt;0),OR($B22&lt;&gt;Ref!$A$8,$H$56&gt;0)),COUNT(SEARCH(Sonderarbeit,$N22))&gt;=1),ISNONTEXT(C22),C22&lt;&gt;""),F22-H22,"")</f>
        <v/>
      </c>
      <c r="J22" s="162" t="str">
        <f t="array" ref="J22">IF(OR(AND(F22&lt;H22,OR(AND(OR($B22&lt;&gt;Ref!$A$7,$H$55&gt;0),OR($B22&lt;&gt;Ref!$A$8,$H$56&gt;0)),COUNT(SEARCH(Sonderarbeit,$N22))&gt;=1)),C22="Ausgleich"),H22-F22,"")</f>
        <v/>
      </c>
      <c r="K22" s="166" t="str">
        <f>IF(AND(B22=Ref!$A$8,SUM(I19:I22)&lt;SUM(J19:J22)),"-","")</f>
        <v/>
      </c>
      <c r="L22" s="167" t="str">
        <f>IF(B22=Ref!$A$8,ABS(SUM(I19:I22)-SUM(J19:J22)),"")</f>
        <v/>
      </c>
    </row>
    <row r="23" spans="1:14" ht="17.45" customHeight="1" x14ac:dyDescent="0.35">
      <c r="A23" s="168">
        <v>5</v>
      </c>
      <c r="B23" s="156" t="str">
        <f t="shared" si="1"/>
        <v>Sonntag</v>
      </c>
      <c r="C23" s="157" t="s">
        <v>120</v>
      </c>
      <c r="D23" s="157">
        <v>0.70833333333333337</v>
      </c>
      <c r="E23" s="157">
        <v>2.0833333333333332E-2</v>
      </c>
      <c r="F23" s="158">
        <f t="shared" si="2"/>
        <v>0</v>
      </c>
      <c r="G23" s="159"/>
      <c r="H23" s="160">
        <f t="shared" si="0"/>
        <v>0</v>
      </c>
      <c r="I23" s="161" t="str">
        <f t="array" ref="I23">IF(AND(F23&gt;H23,OR(AND(OR($B23&lt;&gt;Ref!$A$7,$H$55&gt;0),OR($B23&lt;&gt;Ref!$A$8,$H$56&gt;0)),COUNT(SEARCH(Sonderarbeit,$N23))&gt;=1),ISNONTEXT(C23),C23&lt;&gt;""),F23-H23,"")</f>
        <v/>
      </c>
      <c r="J23" s="162" t="str">
        <f t="array" ref="J23">IF(OR(AND(F23&lt;H23,OR(AND(OR($B23&lt;&gt;Ref!$A$7,$H$55&gt;0),OR($B23&lt;&gt;Ref!$A$8,$H$56&gt;0)),COUNT(SEARCH(Sonderarbeit,$N23))&gt;=1)),C23="Ausgleich"),H23-F23,"")</f>
        <v/>
      </c>
      <c r="K23" s="166" t="str">
        <f>IF(AND(B23=Ref!$A$8,SUM(I19:I23)&lt;SUM(J19:J23)),"-","")</f>
        <v/>
      </c>
      <c r="L23" s="167">
        <f>IF(B23=Ref!$A$8,ABS(SUM(I19:I23)-SUM(J19:J23)),"")</f>
        <v>0</v>
      </c>
    </row>
    <row r="24" spans="1:14" ht="17.45" customHeight="1" x14ac:dyDescent="0.35">
      <c r="A24" s="155">
        <v>6</v>
      </c>
      <c r="B24" s="156" t="str">
        <f t="shared" si="1"/>
        <v>Montag</v>
      </c>
      <c r="C24" s="157" t="s">
        <v>83</v>
      </c>
      <c r="D24" s="157">
        <v>0.70833333333333337</v>
      </c>
      <c r="E24" s="157">
        <v>2.0833333333333332E-2</v>
      </c>
      <c r="F24" s="158">
        <f t="shared" si="2"/>
        <v>0</v>
      </c>
      <c r="G24" s="159"/>
      <c r="H24" s="160">
        <f t="shared" si="0"/>
        <v>0</v>
      </c>
      <c r="I24" s="161" t="str">
        <f t="array" ref="I24">IF(AND(F24&gt;H24,OR(AND(OR($B24&lt;&gt;Ref!$A$7,$H$55&gt;0),OR($B24&lt;&gt;Ref!$A$8,$H$56&gt;0)),COUNT(SEARCH(Sonderarbeit,$N24))&gt;=1),ISNONTEXT(C24),C24&lt;&gt;""),F24-H24,"")</f>
        <v/>
      </c>
      <c r="J24" s="162" t="str">
        <f t="array" ref="J24">IF(OR(AND(F24&lt;H24,OR(AND(OR($B24&lt;&gt;Ref!$A$7,$H$55&gt;0),OR($B24&lt;&gt;Ref!$A$8,$H$56&gt;0)),COUNT(SEARCH(Sonderarbeit,$N24))&gt;=1)),C24="Ausgleich"),H24-F24,"")</f>
        <v/>
      </c>
      <c r="K24" s="166" t="str">
        <f>IF(AND(B24=Ref!$A$8,SUM(I19:I24)&lt;SUM(J19:J24)),"-","")</f>
        <v/>
      </c>
      <c r="L24" s="167" t="str">
        <f>IF(B24=Ref!$A$8,ABS(SUM(I19:I24)-SUM(J19:J24)),"")</f>
        <v/>
      </c>
      <c r="N24" s="100"/>
    </row>
    <row r="25" spans="1:14" ht="17.45" customHeight="1" x14ac:dyDescent="0.35">
      <c r="A25" s="168">
        <v>7</v>
      </c>
      <c r="B25" s="156" t="str">
        <f t="shared" si="1"/>
        <v>Dienstag</v>
      </c>
      <c r="C25" s="157">
        <v>0.35416666666666669</v>
      </c>
      <c r="D25" s="157">
        <v>0.70833333333333337</v>
      </c>
      <c r="E25" s="157">
        <v>2.0833333333333332E-2</v>
      </c>
      <c r="F25" s="158">
        <f t="shared" si="2"/>
        <v>0.33333333333333337</v>
      </c>
      <c r="G25" s="159"/>
      <c r="H25" s="160">
        <f t="shared" si="0"/>
        <v>0.33333333333333331</v>
      </c>
      <c r="I25" s="161" t="str">
        <f t="array" ref="I25">IF(AND(F25&gt;H25,OR(AND(OR($B25&lt;&gt;Ref!$A$7,$H$55&gt;0),OR($B25&lt;&gt;Ref!$A$8,$H$56&gt;0)),COUNT(SEARCH(Sonderarbeit,$N25))&gt;=1),ISNONTEXT(C25),C25&lt;&gt;""),F25-H25,"")</f>
        <v/>
      </c>
      <c r="J25" s="162" t="str">
        <f t="array" ref="J25">IF(OR(AND(F25&lt;H25,OR(AND(OR($B25&lt;&gt;Ref!$A$7,$H$55&gt;0),OR($B25&lt;&gt;Ref!$A$8,$H$56&gt;0)),COUNT(SEARCH(Sonderarbeit,$N25))&gt;=1)),C25="Ausgleich"),H25-F25,"")</f>
        <v/>
      </c>
      <c r="K25" s="166" t="str">
        <f>IF(AND(B25=Ref!$A$8,SUM(I19:I25)&lt;SUM(J19:J25)),"-","")</f>
        <v/>
      </c>
      <c r="L25" s="167" t="str">
        <f>IF(B25=Ref!$A$8,ABS(SUM(I19:I25)-SUM(J19:J25)),"")</f>
        <v/>
      </c>
      <c r="N25" s="100"/>
    </row>
    <row r="26" spans="1:14" ht="17.45" customHeight="1" x14ac:dyDescent="0.35">
      <c r="A26" s="168">
        <v>8</v>
      </c>
      <c r="B26" s="156" t="str">
        <f t="shared" si="1"/>
        <v>Mittwoch</v>
      </c>
      <c r="C26" s="157">
        <v>0.35416666666666669</v>
      </c>
      <c r="D26" s="157">
        <v>0.70833333333333337</v>
      </c>
      <c r="E26" s="157">
        <v>2.0833333333333332E-2</v>
      </c>
      <c r="F26" s="158">
        <f t="shared" si="2"/>
        <v>0.33333333333333337</v>
      </c>
      <c r="G26" s="159"/>
      <c r="H26" s="160">
        <f t="shared" si="0"/>
        <v>0.33333333333333331</v>
      </c>
      <c r="I26" s="161" t="str">
        <f t="array" ref="I26">IF(AND(F26&gt;H26,OR(AND(OR($B26&lt;&gt;Ref!$A$7,$H$55&gt;0),OR($B26&lt;&gt;Ref!$A$8,$H$56&gt;0)),COUNT(SEARCH(Sonderarbeit,$N26))&gt;=1),ISNONTEXT(C26),C26&lt;&gt;""),F26-H26,"")</f>
        <v/>
      </c>
      <c r="J26" s="162" t="str">
        <f t="array" ref="J26">IF(OR(AND(F26&lt;H26,OR(AND(OR($B26&lt;&gt;Ref!$A$7,$H$55&gt;0),OR($B26&lt;&gt;Ref!$A$8,$H$56&gt;0)),COUNT(SEARCH(Sonderarbeit,$N26))&gt;=1)),C26="Ausgleich"),H26-F26,"")</f>
        <v/>
      </c>
      <c r="K26" s="166" t="str">
        <f>IF(AND(B26=Ref!$A$8,SUM(I20:I26)&lt;SUM(J20:J26)),"-","")</f>
        <v/>
      </c>
      <c r="L26" s="167" t="str">
        <f>IF(B26=Ref!$A$8,ABS(SUM(I20:I26)-SUM(J20:J26)),"")</f>
        <v/>
      </c>
    </row>
    <row r="27" spans="1:14" ht="17.45" customHeight="1" x14ac:dyDescent="0.35">
      <c r="A27" s="155">
        <v>9</v>
      </c>
      <c r="B27" s="156" t="str">
        <f t="shared" si="1"/>
        <v>Donnerstag</v>
      </c>
      <c r="C27" s="157">
        <v>0.35416666666666669</v>
      </c>
      <c r="D27" s="157">
        <v>0.70833333333333337</v>
      </c>
      <c r="E27" s="157">
        <v>2.0833333333333332E-2</v>
      </c>
      <c r="F27" s="158">
        <f t="shared" si="2"/>
        <v>0.33333333333333337</v>
      </c>
      <c r="G27" s="159"/>
      <c r="H27" s="160">
        <f t="shared" si="0"/>
        <v>0.33333333333333331</v>
      </c>
      <c r="I27" s="161" t="str">
        <f t="array" ref="I27">IF(AND(F27&gt;H27,OR(AND(OR($B27&lt;&gt;Ref!$A$7,$H$55&gt;0),OR($B27&lt;&gt;Ref!$A$8,$H$56&gt;0)),COUNT(SEARCH(Sonderarbeit,$N27))&gt;=1),ISNONTEXT(C27),C27&lt;&gt;""),F27-H27,"")</f>
        <v/>
      </c>
      <c r="J27" s="162" t="str">
        <f t="array" ref="J27">IF(OR(AND(F27&lt;H27,OR(AND(OR($B27&lt;&gt;Ref!$A$7,$H$55&gt;0),OR($B27&lt;&gt;Ref!$A$8,$H$56&gt;0)),COUNT(SEARCH(Sonderarbeit,$N27))&gt;=1)),C27="Ausgleich"),H27-F27,"")</f>
        <v/>
      </c>
      <c r="K27" s="166" t="str">
        <f>IF(AND(B27=Ref!$A$8,SUM(I21:I27)&lt;SUM(J21:J27)),"-","")</f>
        <v/>
      </c>
      <c r="L27" s="167" t="str">
        <f>IF(B27=Ref!$A$8,ABS(SUM(I21:I27)-SUM(J21:J27)),"")</f>
        <v/>
      </c>
    </row>
    <row r="28" spans="1:14" ht="17.45" customHeight="1" x14ac:dyDescent="0.35">
      <c r="A28" s="155">
        <v>10</v>
      </c>
      <c r="B28" s="156" t="str">
        <f t="shared" si="1"/>
        <v>Freitag</v>
      </c>
      <c r="C28" s="157">
        <v>0.35416666666666669</v>
      </c>
      <c r="D28" s="157">
        <v>0.70833333333333337</v>
      </c>
      <c r="E28" s="157">
        <v>2.0833333333333332E-2</v>
      </c>
      <c r="F28" s="158">
        <f t="shared" si="2"/>
        <v>0.33333333333333337</v>
      </c>
      <c r="G28" s="159"/>
      <c r="H28" s="160">
        <f t="shared" si="0"/>
        <v>0.3125</v>
      </c>
      <c r="I28" s="161">
        <f t="array" ref="I28">IF(AND(F28&gt;H28,OR(AND(OR($B28&lt;&gt;Ref!$A$7,$H$55&gt;0),OR($B28&lt;&gt;Ref!$A$8,$H$56&gt;0)),COUNT(SEARCH(Sonderarbeit,$N28))&gt;=1),ISNONTEXT(C28),C28&lt;&gt;""),F28-H28,"")</f>
        <v>2.083333333333337E-2</v>
      </c>
      <c r="J28" s="162" t="str">
        <f t="array" ref="J28">IF(OR(AND(F28&lt;H28,OR(AND(OR($B28&lt;&gt;Ref!$A$7,$H$55&gt;0),OR($B28&lt;&gt;Ref!$A$8,$H$56&gt;0)),COUNT(SEARCH(Sonderarbeit,$N28))&gt;=1)),C28="Ausgleich"),H28-F28,"")</f>
        <v/>
      </c>
      <c r="K28" s="166" t="str">
        <f>IF(AND(B28=Ref!$A$8,SUM(I22:I28)&lt;SUM(J22:J28)),"-","")</f>
        <v/>
      </c>
      <c r="L28" s="167" t="str">
        <f>IF(B28=Ref!$A$8,ABS(SUM(I22:I28)-SUM(J22:J28)),"")</f>
        <v/>
      </c>
      <c r="N28" s="100" t="s">
        <v>123</v>
      </c>
    </row>
    <row r="29" spans="1:14" ht="17.45" customHeight="1" x14ac:dyDescent="0.35">
      <c r="A29" s="168">
        <v>11</v>
      </c>
      <c r="B29" s="156" t="str">
        <f t="shared" si="1"/>
        <v>Samstag</v>
      </c>
      <c r="C29" s="157">
        <v>0.35416666666666669</v>
      </c>
      <c r="D29" s="157">
        <v>0.70833333333333337</v>
      </c>
      <c r="E29" s="157">
        <v>2.0833333333333332E-2</v>
      </c>
      <c r="F29" s="158">
        <f t="shared" si="2"/>
        <v>0.33333333333333337</v>
      </c>
      <c r="G29" s="159"/>
      <c r="H29" s="160">
        <f t="shared" si="0"/>
        <v>0</v>
      </c>
      <c r="I29" s="161" t="str">
        <f t="array" ref="I29">IF(AND(F29&gt;H29,OR(AND(OR($B29&lt;&gt;Ref!$A$7,$H$55&gt;0),OR($B29&lt;&gt;Ref!$A$8,$H$56&gt;0)),COUNT(SEARCH(Sonderarbeit,$N29))&gt;=1),ISNONTEXT(C29),C29&lt;&gt;""),F29-H29,"")</f>
        <v/>
      </c>
      <c r="J29" s="162" t="str">
        <f t="array" ref="J29">IF(OR(AND(F29&lt;H29,OR(AND(OR($B29&lt;&gt;Ref!$A$7,$H$55&gt;0),OR($B29&lt;&gt;Ref!$A$8,$H$56&gt;0)),COUNT(SEARCH(Sonderarbeit,$N29))&gt;=1)),C29="Ausgleich"),H29-F29,"")</f>
        <v/>
      </c>
      <c r="K29" s="166" t="str">
        <f>IF(AND(B29=Ref!$A$8,SUM(I23:I29)&lt;SUM(J23:J29)),"-","")</f>
        <v/>
      </c>
      <c r="L29" s="167" t="str">
        <f>IF(B29=Ref!$A$8,ABS(SUM(I23:I29)-SUM(J23:J29)),"")</f>
        <v/>
      </c>
    </row>
    <row r="30" spans="1:14" ht="17.45" customHeight="1" x14ac:dyDescent="0.35">
      <c r="A30" s="168">
        <v>12</v>
      </c>
      <c r="B30" s="156" t="str">
        <f t="shared" si="1"/>
        <v>Sonntag</v>
      </c>
      <c r="C30" s="157">
        <v>0.35416666666666669</v>
      </c>
      <c r="D30" s="157">
        <v>0.70833333333333337</v>
      </c>
      <c r="E30" s="157">
        <v>2.0833333333333332E-2</v>
      </c>
      <c r="F30" s="158">
        <f t="shared" si="2"/>
        <v>0.33333333333333337</v>
      </c>
      <c r="G30" s="159"/>
      <c r="H30" s="160">
        <f t="shared" si="0"/>
        <v>0</v>
      </c>
      <c r="I30" s="161" t="str">
        <f t="array" ref="I30">IF(AND(F30&gt;H30,OR(AND(OR($B30&lt;&gt;Ref!$A$7,$H$55&gt;0),OR($B30&lt;&gt;Ref!$A$8,$H$56&gt;0)),COUNT(SEARCH(Sonderarbeit,$N30))&gt;=1),ISNONTEXT(C30),C30&lt;&gt;""),F30-H30,"")</f>
        <v/>
      </c>
      <c r="J30" s="162" t="str">
        <f t="array" ref="J30">IF(OR(AND(F30&lt;H30,OR(AND(OR($B30&lt;&gt;Ref!$A$7,$H$55&gt;0),OR($B30&lt;&gt;Ref!$A$8,$H$56&gt;0)),COUNT(SEARCH(Sonderarbeit,$N30))&gt;=1)),C30="Ausgleich"),H30-F30,"")</f>
        <v/>
      </c>
      <c r="K30" s="166" t="str">
        <f>IF(AND(B30=Ref!$A$8,SUM(I24:I30)&lt;SUM(J24:J30)),"-","")</f>
        <v/>
      </c>
      <c r="L30" s="167">
        <f>IF(B30=Ref!$A$8,ABS(SUM(I24:I30)-SUM(J24:J30)),"")</f>
        <v>2.083333333333337E-2</v>
      </c>
    </row>
    <row r="31" spans="1:14" ht="17.45" customHeight="1" x14ac:dyDescent="0.35">
      <c r="A31" s="168">
        <v>13</v>
      </c>
      <c r="B31" s="156" t="str">
        <f t="shared" si="1"/>
        <v>Montag</v>
      </c>
      <c r="C31" s="157">
        <v>0.35416666666666669</v>
      </c>
      <c r="D31" s="157">
        <v>0.70833333333333337</v>
      </c>
      <c r="E31" s="157">
        <v>2.0833333333333332E-2</v>
      </c>
      <c r="F31" s="158">
        <f t="shared" si="2"/>
        <v>0.33333333333333337</v>
      </c>
      <c r="G31" s="159"/>
      <c r="H31" s="160">
        <f t="shared" si="0"/>
        <v>0.33333333333333331</v>
      </c>
      <c r="I31" s="161" t="str">
        <f t="array" ref="I31">IF(AND(F31&gt;H31,OR(AND(OR($B31&lt;&gt;Ref!$A$7,$H$55&gt;0),OR($B31&lt;&gt;Ref!$A$8,$H$56&gt;0)),COUNT(SEARCH(Sonderarbeit,$N31))&gt;=1),ISNONTEXT(C31),C31&lt;&gt;""),F31-H31,"")</f>
        <v/>
      </c>
      <c r="J31" s="162" t="str">
        <f t="array" ref="J31">IF(OR(AND(F31&lt;H31,OR(AND(OR($B31&lt;&gt;Ref!$A$7,$H$55&gt;0),OR($B31&lt;&gt;Ref!$A$8,$H$56&gt;0)),COUNT(SEARCH(Sonderarbeit,$N31))&gt;=1)),C31="Ausgleich"),H31-F31,"")</f>
        <v/>
      </c>
      <c r="K31" s="166" t="str">
        <f>IF(AND(B31=Ref!$A$8,SUM(I25:I31)&lt;SUM(J25:J31)),"-","")</f>
        <v/>
      </c>
      <c r="L31" s="167" t="str">
        <f>IF(B31=Ref!$A$8,ABS(SUM(I25:I31)-SUM(J25:J31)),"")</f>
        <v/>
      </c>
    </row>
    <row r="32" spans="1:14" ht="17.45" customHeight="1" x14ac:dyDescent="0.35">
      <c r="A32" s="168">
        <v>14</v>
      </c>
      <c r="B32" s="156" t="str">
        <f t="shared" si="1"/>
        <v>Dienstag</v>
      </c>
      <c r="C32" s="157">
        <v>0.35416666666666669</v>
      </c>
      <c r="D32" s="157">
        <v>0.70833333333333337</v>
      </c>
      <c r="E32" s="157">
        <v>2.0833333333333332E-2</v>
      </c>
      <c r="F32" s="158">
        <f t="shared" si="2"/>
        <v>0.33333333333333337</v>
      </c>
      <c r="G32" s="159"/>
      <c r="H32" s="160">
        <f t="shared" si="0"/>
        <v>0.33333333333333331</v>
      </c>
      <c r="I32" s="161" t="str">
        <f t="array" ref="I32">IF(AND(F32&gt;H32,OR(AND(OR($B32&lt;&gt;Ref!$A$7,$H$55&gt;0),OR($B32&lt;&gt;Ref!$A$8,$H$56&gt;0)),COUNT(SEARCH(Sonderarbeit,$N32))&gt;=1),ISNONTEXT(C32),C32&lt;&gt;""),F32-H32,"")</f>
        <v/>
      </c>
      <c r="J32" s="162" t="str">
        <f t="array" ref="J32">IF(OR(AND(F32&lt;H32,OR(AND(OR($B32&lt;&gt;Ref!$A$7,$H$55&gt;0),OR($B32&lt;&gt;Ref!$A$8,$H$56&gt;0)),COUNT(SEARCH(Sonderarbeit,$N32))&gt;=1)),C32="Ausgleich"),H32-F32,"")</f>
        <v/>
      </c>
      <c r="K32" s="166" t="str">
        <f>IF(AND(B32=Ref!$A$8,SUM(I26:I32)&lt;SUM(J26:J32)),"-","")</f>
        <v/>
      </c>
      <c r="L32" s="167" t="str">
        <f>IF(B32=Ref!$A$8,ABS(SUM(I26:I32)-SUM(J26:J32)),"")</f>
        <v/>
      </c>
    </row>
    <row r="33" spans="1:14" ht="17.45" customHeight="1" x14ac:dyDescent="0.35">
      <c r="A33" s="155">
        <v>15</v>
      </c>
      <c r="B33" s="156" t="str">
        <f t="shared" si="1"/>
        <v>Mittwoch</v>
      </c>
      <c r="C33" s="157">
        <v>0.35416666666666669</v>
      </c>
      <c r="D33" s="157">
        <v>0.70833333333333337</v>
      </c>
      <c r="E33" s="157">
        <v>2.0833333333333332E-2</v>
      </c>
      <c r="F33" s="158">
        <f t="shared" si="2"/>
        <v>0.33333333333333337</v>
      </c>
      <c r="G33" s="159"/>
      <c r="H33" s="160">
        <f t="shared" si="0"/>
        <v>0.33333333333333331</v>
      </c>
      <c r="I33" s="161" t="str">
        <f t="array" ref="I33">IF(AND(F33&gt;H33,OR(AND(OR($B33&lt;&gt;Ref!$A$7,$H$55&gt;0),OR($B33&lt;&gt;Ref!$A$8,$H$56&gt;0)),COUNT(SEARCH(Sonderarbeit,$N33))&gt;=1),ISNONTEXT(C33),C33&lt;&gt;""),F33-H33,"")</f>
        <v/>
      </c>
      <c r="J33" s="162" t="str">
        <f t="array" ref="J33">IF(OR(AND(F33&lt;H33,OR(AND(OR($B33&lt;&gt;Ref!$A$7,$H$55&gt;0),OR($B33&lt;&gt;Ref!$A$8,$H$56&gt;0)),COUNT(SEARCH(Sonderarbeit,$N33))&gt;=1)),C33="Ausgleich"),H33-F33,"")</f>
        <v/>
      </c>
      <c r="K33" s="166" t="str">
        <f>IF(AND(B33=Ref!$A$8,SUM(I27:I33)&lt;SUM(J27:J33)),"-","")</f>
        <v/>
      </c>
      <c r="L33" s="167" t="str">
        <f>IF(B33=Ref!$A$8,ABS(SUM(I27:I33)-SUM(J27:J33)),"")</f>
        <v/>
      </c>
      <c r="N33" s="100"/>
    </row>
    <row r="34" spans="1:14" ht="17.45" customHeight="1" x14ac:dyDescent="0.35">
      <c r="A34" s="155">
        <v>16</v>
      </c>
      <c r="B34" s="156" t="str">
        <f t="shared" si="1"/>
        <v>Donnerstag</v>
      </c>
      <c r="C34" s="157">
        <v>0.35416666666666669</v>
      </c>
      <c r="D34" s="157">
        <v>0.70833333333333337</v>
      </c>
      <c r="E34" s="157">
        <v>2.0833333333333332E-2</v>
      </c>
      <c r="F34" s="158">
        <f t="shared" si="2"/>
        <v>0.33333333333333337</v>
      </c>
      <c r="G34" s="159"/>
      <c r="H34" s="160">
        <f t="shared" si="0"/>
        <v>0.33333333333333331</v>
      </c>
      <c r="I34" s="161" t="str">
        <f t="array" ref="I34">IF(AND(F34&gt;H34,OR(AND(OR($B34&lt;&gt;Ref!$A$7,$H$55&gt;0),OR($B34&lt;&gt;Ref!$A$8,$H$56&gt;0)),COUNT(SEARCH(Sonderarbeit,$N34))&gt;=1),ISNONTEXT(C34),C34&lt;&gt;""),F34-H34,"")</f>
        <v/>
      </c>
      <c r="J34" s="162" t="str">
        <f t="array" ref="J34">IF(OR(AND(F34&lt;H34,OR(AND(OR($B34&lt;&gt;Ref!$A$7,$H$55&gt;0),OR($B34&lt;&gt;Ref!$A$8,$H$56&gt;0)),COUNT(SEARCH(Sonderarbeit,$N34))&gt;=1)),C34="Ausgleich"),H34-F34,"")</f>
        <v/>
      </c>
      <c r="K34" s="166" t="str">
        <f>IF(AND(B34=Ref!$A$8,SUM(I28:I34)&lt;SUM(J28:J34)),"-","")</f>
        <v/>
      </c>
      <c r="L34" s="167" t="str">
        <f>IF(B34=Ref!$A$8,ABS(SUM(I28:I34)-SUM(J28:J34)),"")</f>
        <v/>
      </c>
      <c r="M34" s="286"/>
    </row>
    <row r="35" spans="1:14" ht="17.45" customHeight="1" x14ac:dyDescent="0.35">
      <c r="A35" s="155">
        <v>17</v>
      </c>
      <c r="B35" s="156" t="str">
        <f t="shared" si="1"/>
        <v>Freitag</v>
      </c>
      <c r="C35" s="157">
        <v>0.35416666666666669</v>
      </c>
      <c r="D35" s="157">
        <v>0.70833333333333337</v>
      </c>
      <c r="E35" s="157">
        <v>2.0833333333333332E-2</v>
      </c>
      <c r="F35" s="158">
        <f t="shared" si="2"/>
        <v>0.33333333333333337</v>
      </c>
      <c r="G35" s="159"/>
      <c r="H35" s="160">
        <f t="shared" si="0"/>
        <v>0.3125</v>
      </c>
      <c r="I35" s="161">
        <f t="array" ref="I35">IF(AND(F35&gt;H35,OR(AND(OR($B35&lt;&gt;Ref!$A$7,$H$55&gt;0),OR($B35&lt;&gt;Ref!$A$8,$H$56&gt;0)),COUNT(SEARCH(Sonderarbeit,$N35))&gt;=1),ISNONTEXT(C35),C35&lt;&gt;""),F35-H35,"")</f>
        <v>2.083333333333337E-2</v>
      </c>
      <c r="J35" s="162" t="str">
        <f t="array" ref="J35">IF(OR(AND(F35&lt;H35,OR(AND(OR($B35&lt;&gt;Ref!$A$7,$H$55&gt;0),OR($B35&lt;&gt;Ref!$A$8,$H$56&gt;0)),COUNT(SEARCH(Sonderarbeit,$N35))&gt;=1)),C35="Ausgleich"),H35-F35,"")</f>
        <v/>
      </c>
      <c r="K35" s="166" t="str">
        <f>IF(AND(B35=Ref!$A$8,SUM(I29:I35)&lt;SUM(J29:J35)),"-","")</f>
        <v/>
      </c>
      <c r="L35" s="167" t="str">
        <f>IF(B35=Ref!$A$8,ABS(SUM(I29:I35)-SUM(J29:J35)),"")</f>
        <v/>
      </c>
      <c r="M35" s="286"/>
      <c r="N35" s="100" t="str">
        <f>IF(Mantelbogen!$C$8="Geschäftsstelle", "Klassensitzung", "")</f>
        <v>Klassensitzung</v>
      </c>
    </row>
    <row r="36" spans="1:14" ht="17.45" customHeight="1" x14ac:dyDescent="0.35">
      <c r="A36" s="155">
        <v>18</v>
      </c>
      <c r="B36" s="156" t="str">
        <f t="shared" si="1"/>
        <v>Samstag</v>
      </c>
      <c r="C36" s="157">
        <v>0.35416666666666669</v>
      </c>
      <c r="D36" s="157">
        <v>0.35416666666666669</v>
      </c>
      <c r="E36" s="157">
        <v>0</v>
      </c>
      <c r="F36" s="158">
        <f t="shared" si="2"/>
        <v>0</v>
      </c>
      <c r="G36" s="159"/>
      <c r="H36" s="160">
        <f>IF(AND(ISTEXT(C36),ISERR(SEARCH("ausgleich",C36,1))),,INDEX(H$50:H$57,WEEKDAY(DATE(J$11,MONTH(I$11),A36),2),1,1))</f>
        <v>0</v>
      </c>
      <c r="I36" s="161" t="str">
        <f t="array" ref="I36">IF(AND(F36&gt;H36,OR(AND(OR($B36&lt;&gt;Ref!$A$7,$H$55&gt;0),OR($B36&lt;&gt;Ref!$A$8,$H$56&gt;0)),COUNT(SEARCH(Sonderarbeit,$N36))&gt;=1),ISNONTEXT(C36),C36&lt;&gt;""),F36-H36,"")</f>
        <v/>
      </c>
      <c r="J36" s="162" t="str">
        <f t="array" ref="J36">IF(OR(AND(F36&lt;H36,OR(AND(OR($B36&lt;&gt;Ref!$A$7,$H$55&gt;0),OR($B36&lt;&gt;Ref!$A$8,$H$56&gt;0)),COUNT(SEARCH(Sonderarbeit,$N36))&gt;=1)),C36="Ausgleich"),H36-F36,"")</f>
        <v/>
      </c>
      <c r="K36" s="166" t="str">
        <f>IF(AND(B36=Ref!$A$8,SUM(I30:I36)&lt;SUM(J30:J36)),"-","")</f>
        <v/>
      </c>
      <c r="L36" s="167" t="str">
        <f>IF(B36=Ref!$A$8,ABS(SUM(I30:I36)-SUM(J30:J36)),"")</f>
        <v/>
      </c>
      <c r="N36" s="100" t="str">
        <f>IF(Mantelbogen!$C$8="Geschäftsstelle", "Gesamtsitzung", "")</f>
        <v>Gesamtsitzung</v>
      </c>
    </row>
    <row r="37" spans="1:14" ht="17.45" customHeight="1" x14ac:dyDescent="0.35">
      <c r="A37" s="155">
        <v>19</v>
      </c>
      <c r="B37" s="156" t="str">
        <f t="shared" si="1"/>
        <v>Sonntag</v>
      </c>
      <c r="C37" s="157">
        <v>0.35416666666666669</v>
      </c>
      <c r="D37" s="157">
        <v>0.70833333333333337</v>
      </c>
      <c r="E37" s="157">
        <v>2.0833333333333332E-2</v>
      </c>
      <c r="F37" s="158">
        <f t="shared" si="2"/>
        <v>0.33333333333333337</v>
      </c>
      <c r="G37" s="159"/>
      <c r="H37" s="160">
        <f t="shared" ref="H37:H48" si="3">IF(AND(ISTEXT(C37),ISERR(SEARCH("ausgleich",C37,1))),,INDEX(H$50:H$57,WEEKDAY(DATE(J$11,MONTH(I$11),A37),2),1,1))</f>
        <v>0</v>
      </c>
      <c r="I37" s="161" t="str">
        <f t="array" ref="I37">IF(AND(F37&gt;H37,OR(AND(OR($B37&lt;&gt;Ref!$A$7,$H$55&gt;0),OR($B37&lt;&gt;Ref!$A$8,$H$56&gt;0)),COUNT(SEARCH(Sonderarbeit,$N37))&gt;=1),ISNONTEXT(C37),C37&lt;&gt;""),F37-H37,"")</f>
        <v/>
      </c>
      <c r="J37" s="162" t="str">
        <f t="array" ref="J37">IF(OR(AND(F37&lt;H37,OR(AND(OR($B37&lt;&gt;Ref!$A$7,$H$55&gt;0),OR($B37&lt;&gt;Ref!$A$8,$H$56&gt;0)),COUNT(SEARCH(Sonderarbeit,$N37))&gt;=1)),C37="Ausgleich"),H37-F37,"")</f>
        <v/>
      </c>
      <c r="K37" s="166" t="str">
        <f>IF(AND(B37=Ref!$A$8,SUM(I31:I37)&lt;SUM(J31:J37)),"-","")</f>
        <v/>
      </c>
      <c r="L37" s="167">
        <f>IF(B37=Ref!$A$8,ABS(SUM(I31:I37)-SUM(J31:J37)),"")</f>
        <v>2.083333333333337E-2</v>
      </c>
      <c r="N37" s="100"/>
    </row>
    <row r="38" spans="1:14" ht="17.45" customHeight="1" x14ac:dyDescent="0.35">
      <c r="A38" s="155">
        <v>20</v>
      </c>
      <c r="B38" s="156" t="str">
        <f t="shared" si="1"/>
        <v>Montag</v>
      </c>
      <c r="C38" s="157">
        <v>0.35416666666666669</v>
      </c>
      <c r="D38" s="157">
        <v>0.70833333333333337</v>
      </c>
      <c r="E38" s="157">
        <v>2.0833333333333332E-2</v>
      </c>
      <c r="F38" s="158">
        <f t="shared" si="2"/>
        <v>0.33333333333333337</v>
      </c>
      <c r="G38" s="159"/>
      <c r="H38" s="160">
        <f t="shared" si="3"/>
        <v>0.33333333333333331</v>
      </c>
      <c r="I38" s="161" t="str">
        <f t="array" ref="I38">IF(AND(F38&gt;H38,OR(AND(OR($B38&lt;&gt;Ref!$A$7,$H$55&gt;0),OR($B38&lt;&gt;Ref!$A$8,$H$56&gt;0)),COUNT(SEARCH(Sonderarbeit,$N38))&gt;=1),ISNONTEXT(C38),C38&lt;&gt;""),F38-H38,"")</f>
        <v/>
      </c>
      <c r="J38" s="162" t="str">
        <f t="array" ref="J38">IF(OR(AND(F38&lt;H38,OR(AND(OR($B38&lt;&gt;Ref!$A$7,$H$55&gt;0),OR($B38&lt;&gt;Ref!$A$8,$H$56&gt;0)),COUNT(SEARCH(Sonderarbeit,$N38))&gt;=1)),C38="Ausgleich"),H38-F38,"")</f>
        <v/>
      </c>
      <c r="K38" s="166" t="str">
        <f>IF(AND(B38=Ref!$A$8,SUM(I32:I38)&lt;SUM(J32:J38)),"-","")</f>
        <v/>
      </c>
      <c r="L38" s="167" t="str">
        <f>IF(B38=Ref!$A$8,ABS(SUM(I32:I38)-SUM(J32:J38)),"")</f>
        <v/>
      </c>
    </row>
    <row r="39" spans="1:14" ht="17.45" customHeight="1" x14ac:dyDescent="0.35">
      <c r="A39" s="155">
        <v>21</v>
      </c>
      <c r="B39" s="156" t="str">
        <f t="shared" si="1"/>
        <v>Dienstag</v>
      </c>
      <c r="C39" s="157">
        <v>0.35416666666666669</v>
      </c>
      <c r="D39" s="157">
        <v>0.70833333333333337</v>
      </c>
      <c r="E39" s="157">
        <v>2.0833333333333332E-2</v>
      </c>
      <c r="F39" s="158">
        <f t="shared" si="2"/>
        <v>0.33333333333333337</v>
      </c>
      <c r="G39" s="159"/>
      <c r="H39" s="160">
        <f t="shared" si="3"/>
        <v>0.33333333333333331</v>
      </c>
      <c r="I39" s="161" t="str">
        <f t="array" ref="I39">IF(AND(F39&gt;H39,OR(AND(OR($B39&lt;&gt;Ref!$A$7,$H$55&gt;0),OR($B39&lt;&gt;Ref!$A$8,$H$56&gt;0)),COUNT(SEARCH(Sonderarbeit,$N39))&gt;=1),ISNONTEXT(C39),C39&lt;&gt;""),F39-H39,"")</f>
        <v/>
      </c>
      <c r="J39" s="162" t="str">
        <f t="array" ref="J39">IF(OR(AND(F39&lt;H39,OR(AND(OR($B39&lt;&gt;Ref!$A$7,$H$55&gt;0),OR($B39&lt;&gt;Ref!$A$8,$H$56&gt;0)),COUNT(SEARCH(Sonderarbeit,$N39))&gt;=1)),C39="Ausgleich"),H39-F39,"")</f>
        <v/>
      </c>
      <c r="K39" s="166" t="str">
        <f>IF(AND(B39=Ref!$A$8,SUM(I33:I39)&lt;SUM(J33:J39)),"-","")</f>
        <v/>
      </c>
      <c r="L39" s="167" t="str">
        <f>IF(B39=Ref!$A$8,ABS(SUM(I33:I39)-SUM(J33:J39)),"")</f>
        <v/>
      </c>
    </row>
    <row r="40" spans="1:14" ht="17.45" customHeight="1" x14ac:dyDescent="0.35">
      <c r="A40" s="155">
        <v>22</v>
      </c>
      <c r="B40" s="156" t="str">
        <f t="shared" si="1"/>
        <v>Mittwoch</v>
      </c>
      <c r="C40" s="157">
        <v>0.35416666666666669</v>
      </c>
      <c r="D40" s="157">
        <v>0.70833333333333337</v>
      </c>
      <c r="E40" s="157">
        <v>2.0833333333333332E-2</v>
      </c>
      <c r="F40" s="158">
        <f t="shared" si="2"/>
        <v>0.33333333333333337</v>
      </c>
      <c r="G40" s="159"/>
      <c r="H40" s="160">
        <f t="shared" si="3"/>
        <v>0.33333333333333331</v>
      </c>
      <c r="I40" s="161" t="str">
        <f t="array" ref="I40">IF(AND(F40&gt;H40,OR(AND(OR($B40&lt;&gt;Ref!$A$7,$H$55&gt;0),OR($B40&lt;&gt;Ref!$A$8,$H$56&gt;0)),COUNT(SEARCH(Sonderarbeit,$N40))&gt;=1),ISNONTEXT(C40),C40&lt;&gt;""),F40-H40,"")</f>
        <v/>
      </c>
      <c r="J40" s="162" t="str">
        <f t="array" ref="J40">IF(OR(AND(F40&lt;H40,OR(AND(OR($B40&lt;&gt;Ref!$A$7,$H$55&gt;0),OR($B40&lt;&gt;Ref!$A$8,$H$56&gt;0)),COUNT(SEARCH(Sonderarbeit,$N40))&gt;=1)),C40="Ausgleich"),H40-F40,"")</f>
        <v/>
      </c>
      <c r="K40" s="166" t="str">
        <f>IF(AND(B40=Ref!$A$8,SUM(I34:I40)&lt;SUM(J34:J40)),"-","")</f>
        <v/>
      </c>
      <c r="L40" s="167" t="str">
        <f>IF(B40=Ref!$A$8,ABS(SUM(I34:I40)-SUM(J34:J40)),"")</f>
        <v/>
      </c>
    </row>
    <row r="41" spans="1:14" ht="17.45" customHeight="1" x14ac:dyDescent="0.35">
      <c r="A41" s="155">
        <v>23</v>
      </c>
      <c r="B41" s="156" t="str">
        <f t="shared" si="1"/>
        <v>Donnerstag</v>
      </c>
      <c r="C41" s="157">
        <v>0.35416666666666669</v>
      </c>
      <c r="D41" s="157">
        <v>0.70833333333333337</v>
      </c>
      <c r="E41" s="157">
        <v>2.0833333333333332E-2</v>
      </c>
      <c r="F41" s="158">
        <f t="shared" si="2"/>
        <v>0.33333333333333337</v>
      </c>
      <c r="G41" s="159"/>
      <c r="H41" s="160">
        <f t="shared" si="3"/>
        <v>0.33333333333333331</v>
      </c>
      <c r="I41" s="161" t="str">
        <f t="array" ref="I41">IF(AND(F41&gt;H41,OR(AND(OR($B41&lt;&gt;Ref!$A$7,$H$55&gt;0),OR($B41&lt;&gt;Ref!$A$8,$H$56&gt;0)),COUNT(SEARCH(Sonderarbeit,$N41))&gt;=1),ISNONTEXT(C41),C41&lt;&gt;""),F41-H41,"")</f>
        <v/>
      </c>
      <c r="J41" s="162" t="str">
        <f t="array" ref="J41">IF(OR(AND(F41&lt;H41,OR(AND(OR($B41&lt;&gt;Ref!$A$7,$H$55&gt;0),OR($B41&lt;&gt;Ref!$A$8,$H$56&gt;0)),COUNT(SEARCH(Sonderarbeit,$N41))&gt;=1)),C41="Ausgleich"),H41-F41,"")</f>
        <v/>
      </c>
      <c r="K41" s="166" t="str">
        <f>IF(AND(B41=Ref!$A$8,SUM(I35:I41)&lt;SUM(J35:J41)),"-","")</f>
        <v/>
      </c>
      <c r="L41" s="167" t="str">
        <f>IF(B41=Ref!$A$8,ABS(SUM(I35:I41)-SUM(J35:J41)),"")</f>
        <v/>
      </c>
    </row>
    <row r="42" spans="1:14" ht="17.45" customHeight="1" x14ac:dyDescent="0.35">
      <c r="A42" s="155">
        <v>24</v>
      </c>
      <c r="B42" s="156" t="str">
        <f t="shared" si="1"/>
        <v>Freitag</v>
      </c>
      <c r="C42" s="157">
        <v>0.35416666666666669</v>
      </c>
      <c r="D42" s="157">
        <v>0.70833333333333337</v>
      </c>
      <c r="E42" s="157">
        <v>2.0833333333333332E-2</v>
      </c>
      <c r="F42" s="158">
        <f t="shared" si="2"/>
        <v>0.33333333333333337</v>
      </c>
      <c r="G42" s="159"/>
      <c r="H42" s="160">
        <f t="shared" si="3"/>
        <v>0.3125</v>
      </c>
      <c r="I42" s="161">
        <f t="array" ref="I42">IF(AND(F42&gt;H42,OR(AND(OR($B42&lt;&gt;Ref!$A$7,$H$55&gt;0),OR($B42&lt;&gt;Ref!$A$8,$H$56&gt;0)),COUNT(SEARCH(Sonderarbeit,$N42))&gt;=1),ISNONTEXT(C42),C42&lt;&gt;""),F42-H42,"")</f>
        <v>2.083333333333337E-2</v>
      </c>
      <c r="J42" s="162" t="str">
        <f t="array" ref="J42">IF(OR(AND(F42&lt;H42,OR(AND(OR($B42&lt;&gt;Ref!$A$7,$H$55&gt;0),OR($B42&lt;&gt;Ref!$A$8,$H$56&gt;0)),COUNT(SEARCH(Sonderarbeit,$N42))&gt;=1)),C42="Ausgleich"),H42-F42,"")</f>
        <v/>
      </c>
      <c r="K42" s="166" t="str">
        <f>IF(AND(B42=Ref!$A$8,SUM(I36:I42)&lt;SUM(J36:J42)),"-","")</f>
        <v/>
      </c>
      <c r="L42" s="167" t="str">
        <f>IF(B42=Ref!$A$8,ABS(SUM(I36:I42)-SUM(J36:J42)),"")</f>
        <v/>
      </c>
    </row>
    <row r="43" spans="1:14" ht="17.45" customHeight="1" x14ac:dyDescent="0.35">
      <c r="A43" s="155">
        <v>25</v>
      </c>
      <c r="B43" s="156" t="str">
        <f t="shared" si="1"/>
        <v>Samstag</v>
      </c>
      <c r="C43" s="157">
        <v>0.35416666666666669</v>
      </c>
      <c r="D43" s="157">
        <v>0.70833333333333337</v>
      </c>
      <c r="E43" s="157">
        <v>2.0833333333333332E-2</v>
      </c>
      <c r="F43" s="158">
        <f t="shared" si="2"/>
        <v>0.33333333333333337</v>
      </c>
      <c r="G43" s="159"/>
      <c r="H43" s="160">
        <f t="shared" si="3"/>
        <v>0</v>
      </c>
      <c r="I43" s="161" t="str">
        <f t="array" ref="I43">IF(AND(F43&gt;H43,OR(AND(OR($B43&lt;&gt;Ref!$A$7,$H$55&gt;0),OR($B43&lt;&gt;Ref!$A$8,$H$56&gt;0)),COUNT(SEARCH(Sonderarbeit,$N43))&gt;=1),ISNONTEXT(C43),C43&lt;&gt;""),F43-H43,"")</f>
        <v/>
      </c>
      <c r="J43" s="162" t="str">
        <f t="array" ref="J43">IF(OR(AND(F43&lt;H43,OR(AND(OR($B43&lt;&gt;Ref!$A$7,$H$55&gt;0),OR($B43&lt;&gt;Ref!$A$8,$H$56&gt;0)),COUNT(SEARCH(Sonderarbeit,$N43))&gt;=1)),C43="Ausgleich"),H43-F43,"")</f>
        <v/>
      </c>
      <c r="K43" s="166" t="str">
        <f>IF(AND(B43=Ref!$A$8,SUM(I37:I43)&lt;SUM(J37:J43)),"-","")</f>
        <v/>
      </c>
      <c r="L43" s="167" t="str">
        <f>IF(B43=Ref!$A$8,ABS(SUM(I37:I43)-SUM(J37:J43)),"")</f>
        <v/>
      </c>
    </row>
    <row r="44" spans="1:14" ht="17.45" customHeight="1" x14ac:dyDescent="0.35">
      <c r="A44" s="155">
        <v>26</v>
      </c>
      <c r="B44" s="156" t="str">
        <f t="shared" si="1"/>
        <v>Sonntag</v>
      </c>
      <c r="C44" s="157">
        <v>0.35416666666666669</v>
      </c>
      <c r="D44" s="157">
        <v>0.70833333333333337</v>
      </c>
      <c r="E44" s="157">
        <v>2.0833333333333332E-2</v>
      </c>
      <c r="F44" s="158">
        <f t="shared" si="2"/>
        <v>0.33333333333333337</v>
      </c>
      <c r="G44" s="159"/>
      <c r="H44" s="160">
        <f t="shared" si="3"/>
        <v>0</v>
      </c>
      <c r="I44" s="161" t="str">
        <f t="array" ref="I44">IF(AND(F44&gt;H44,OR(AND(OR($B44&lt;&gt;Ref!$A$7,$H$55&gt;0),OR($B44&lt;&gt;Ref!$A$8,$H$56&gt;0)),COUNT(SEARCH(Sonderarbeit,$N44))&gt;=1),ISNONTEXT(C44),C44&lt;&gt;""),F44-H44,"")</f>
        <v/>
      </c>
      <c r="J44" s="162" t="str">
        <f t="array" ref="J44">IF(OR(AND(F44&lt;H44,OR(AND(OR($B44&lt;&gt;Ref!$A$7,$H$55&gt;0),OR($B44&lt;&gt;Ref!$A$8,$H$56&gt;0)),COUNT(SEARCH(Sonderarbeit,$N44))&gt;=1)),C44="Ausgleich"),H44-F44,"")</f>
        <v/>
      </c>
      <c r="K44" s="166" t="str">
        <f>IF(AND(B44=Ref!$A$8,SUM(I38:I44)&lt;SUM(J38:J44)),"-","")</f>
        <v/>
      </c>
      <c r="L44" s="167">
        <f>IF(B44=Ref!$A$8,ABS(SUM(I38:I44)-SUM(J38:J44)),"")</f>
        <v>2.083333333333337E-2</v>
      </c>
    </row>
    <row r="45" spans="1:14" ht="17.45" customHeight="1" x14ac:dyDescent="0.35">
      <c r="A45" s="155">
        <v>27</v>
      </c>
      <c r="B45" s="156" t="str">
        <f t="shared" si="1"/>
        <v>Montag</v>
      </c>
      <c r="C45" s="157">
        <v>0.35416666666666669</v>
      </c>
      <c r="D45" s="157">
        <v>0.70833333333333337</v>
      </c>
      <c r="E45" s="157">
        <v>2.0833333333333332E-2</v>
      </c>
      <c r="F45" s="158">
        <f t="shared" si="2"/>
        <v>0.33333333333333337</v>
      </c>
      <c r="G45" s="159"/>
      <c r="H45" s="160">
        <f t="shared" si="3"/>
        <v>0.33333333333333331</v>
      </c>
      <c r="I45" s="161" t="str">
        <f t="array" ref="I45">IF(AND(F45&gt;H45,OR(AND(OR($B45&lt;&gt;Ref!$A$7,$H$55&gt;0),OR($B45&lt;&gt;Ref!$A$8,$H$56&gt;0)),COUNT(SEARCH(Sonderarbeit,$N45))&gt;=1),ISNONTEXT(C45),C45&lt;&gt;""),F45-H45,"")</f>
        <v/>
      </c>
      <c r="J45" s="162" t="str">
        <f t="array" ref="J45">IF(OR(AND(F45&lt;H45,OR(AND(OR($B45&lt;&gt;Ref!$A$7,$H$55&gt;0),OR($B45&lt;&gt;Ref!$A$8,$H$56&gt;0)),COUNT(SEARCH(Sonderarbeit,$N45))&gt;=1)),C45="Ausgleich"),H45-F45,"")</f>
        <v/>
      </c>
      <c r="K45" s="166" t="str">
        <f>IF(AND(B45=Ref!$A$8,SUM(I39:I45)&lt;SUM(J39:J45)),"-","")</f>
        <v/>
      </c>
      <c r="L45" s="167" t="str">
        <f>IF(B45=Ref!$A$8,ABS(SUM(I39:I45)-SUM(J39:J45)),"")</f>
        <v/>
      </c>
      <c r="N45" s="100"/>
    </row>
    <row r="46" spans="1:14" ht="17.45" customHeight="1" x14ac:dyDescent="0.35">
      <c r="A46" s="155">
        <v>28</v>
      </c>
      <c r="B46" s="156" t="str">
        <f t="shared" si="1"/>
        <v>Dienstag</v>
      </c>
      <c r="C46" s="157">
        <v>0.35416666666666669</v>
      </c>
      <c r="D46" s="157">
        <v>0.70833333333333337</v>
      </c>
      <c r="E46" s="157">
        <v>2.0833333333333332E-2</v>
      </c>
      <c r="F46" s="158">
        <f t="shared" si="2"/>
        <v>0.33333333333333337</v>
      </c>
      <c r="G46" s="159"/>
      <c r="H46" s="160">
        <f t="shared" si="3"/>
        <v>0.33333333333333331</v>
      </c>
      <c r="I46" s="161" t="str">
        <f t="array" ref="I46">IF(AND(F46&gt;H46,OR(AND(OR($B46&lt;&gt;Ref!$A$7,$H$55&gt;0),OR($B46&lt;&gt;Ref!$A$8,$H$56&gt;0)),COUNT(SEARCH(Sonderarbeit,$N46))&gt;=1),ISNONTEXT(C46),C46&lt;&gt;""),F46-H46,"")</f>
        <v/>
      </c>
      <c r="J46" s="162" t="str">
        <f t="array" ref="J46">IF(OR(AND(F46&lt;H46,OR(AND(OR($B46&lt;&gt;Ref!$A$7,$H$55&gt;0),OR($B46&lt;&gt;Ref!$A$8,$H$56&gt;0)),COUNT(SEARCH(Sonderarbeit,$N46))&gt;=1)),C46="Ausgleich"),H46-F46,"")</f>
        <v/>
      </c>
      <c r="K46" s="166" t="str">
        <f>IF(AND(B46=Ref!$A$8,SUM(I40:I46)&lt;SUM(J40:J46)),"-","")</f>
        <v/>
      </c>
      <c r="L46" s="167" t="str">
        <f>IF(B46=Ref!$A$8,ABS(SUM(I40:I46)-SUM(J40:J46)),"")</f>
        <v/>
      </c>
    </row>
    <row r="47" spans="1:14" ht="17.45" customHeight="1" x14ac:dyDescent="0.35">
      <c r="A47" s="155">
        <v>29</v>
      </c>
      <c r="B47" s="156" t="str">
        <f t="shared" si="1"/>
        <v>Mittwoch</v>
      </c>
      <c r="C47" s="157">
        <v>0.35416666666666669</v>
      </c>
      <c r="D47" s="157">
        <v>0.70833333333333337</v>
      </c>
      <c r="E47" s="157">
        <v>2.0833333333333332E-2</v>
      </c>
      <c r="F47" s="158">
        <f t="shared" si="2"/>
        <v>0.33333333333333337</v>
      </c>
      <c r="G47" s="159"/>
      <c r="H47" s="160">
        <f t="shared" si="3"/>
        <v>0.33333333333333331</v>
      </c>
      <c r="I47" s="161" t="str">
        <f t="array" ref="I47">IF(AND(F47&gt;H47,OR(AND(OR($B47&lt;&gt;Ref!$A$7,$H$55&gt;0),OR($B47&lt;&gt;Ref!$A$8,$H$56&gt;0)),COUNT(SEARCH(Sonderarbeit,$N47))&gt;=1),ISNONTEXT(C47),C47&lt;&gt;""),F47-H47,"")</f>
        <v/>
      </c>
      <c r="J47" s="162" t="str">
        <f t="array" ref="J47">IF(OR(AND(F47&lt;H47,OR(AND(OR($B47&lt;&gt;Ref!$A$7,$H$55&gt;0),OR($B47&lt;&gt;Ref!$A$8,$H$56&gt;0)),COUNT(SEARCH(Sonderarbeit,$N47))&gt;=1)),C47="Ausgleich"),H47-F47,"")</f>
        <v/>
      </c>
      <c r="K47" s="166" t="str">
        <f>IF(AND(B47=Ref!$A$8,SUM(I41:I47)&lt;SUM(J41:J47)),"-","")</f>
        <v/>
      </c>
      <c r="L47" s="167" t="str">
        <f>IF(B47=Ref!$A$8,ABS(SUM(I41:I47)-SUM(J41:J47)),"")</f>
        <v/>
      </c>
    </row>
    <row r="48" spans="1:14" ht="17.45" customHeight="1" x14ac:dyDescent="0.35">
      <c r="A48" s="155">
        <v>30</v>
      </c>
      <c r="B48" s="156" t="str">
        <f t="shared" si="1"/>
        <v>Donnerstag</v>
      </c>
      <c r="C48" s="157">
        <v>0.35416666666666669</v>
      </c>
      <c r="D48" s="157">
        <v>0.70833333333333337</v>
      </c>
      <c r="E48" s="157">
        <v>2.0833333333333332E-2</v>
      </c>
      <c r="F48" s="158">
        <f t="shared" si="2"/>
        <v>0.33333333333333337</v>
      </c>
      <c r="G48" s="159"/>
      <c r="H48" s="160">
        <f t="shared" si="3"/>
        <v>0.33333333333333331</v>
      </c>
      <c r="I48" s="161" t="str">
        <f t="array" ref="I48">IF(AND(F48&gt;H48,OR(AND(OR($B48&lt;&gt;Ref!$A$7,$H$55&gt;0),OR($B48&lt;&gt;Ref!$A$8,$H$56&gt;0)),COUNT(SEARCH(Sonderarbeit,$N48))&gt;=1),ISNONTEXT(C48),C48&lt;&gt;""),F48-H48,"")</f>
        <v/>
      </c>
      <c r="J48" s="162" t="str">
        <f t="array" ref="J48">IF(OR(AND(F48&lt;H48,OR(AND(OR($B48&lt;&gt;Ref!$A$7,$H$55&gt;0),OR($B48&lt;&gt;Ref!$A$8,$H$56&gt;0)),COUNT(SEARCH(Sonderarbeit,$N48))&gt;=1)),C48="Ausgleich"),H48-F48,"")</f>
        <v/>
      </c>
      <c r="K48" s="218" t="str">
        <f ca="1">IF(SUM(INDIRECT("I"&amp;ROW()-WEEKDAY(DATE(J$11,MONTH(I$11),A48),3)):I48) &lt; SUM(INDIRECT("j"&amp;ROW()-WEEKDAY(DATE(J$11,MONTH(I$11),A48),3)):J48),"-","")</f>
        <v/>
      </c>
      <c r="L48" s="219">
        <f ca="1">ABS(SUM(INDIRECT("I"&amp;ROW()-WEEKDAY(DATE(J$11,MONTH(I$11),A48),3)):I48)-SUM(INDIRECT("j"&amp;ROW()-WEEKDAY(DATE(J$11,MONTH(I$11),A48))):J48))</f>
        <v>0</v>
      </c>
    </row>
    <row r="49" spans="1:14" s="183" customFormat="1" ht="17.45" customHeight="1" thickBot="1" x14ac:dyDescent="0.25">
      <c r="A49" s="175" t="str">
        <f>Jan!A50</f>
        <v>Sonstige Zeiten laut beigefügter Aufstellung (s. Anlage):</v>
      </c>
      <c r="B49" s="176"/>
      <c r="C49" s="177"/>
      <c r="D49" s="178"/>
      <c r="E49" s="178"/>
      <c r="F49" s="178"/>
      <c r="G49" s="178"/>
      <c r="H49" s="179"/>
      <c r="I49" s="259">
        <v>0</v>
      </c>
      <c r="J49" s="260">
        <v>0</v>
      </c>
      <c r="K49" s="261"/>
      <c r="L49" s="262"/>
      <c r="M49" s="99"/>
      <c r="N49" s="99"/>
    </row>
    <row r="50" spans="1:14" x14ac:dyDescent="0.2">
      <c r="A50" s="263" t="s">
        <v>3</v>
      </c>
      <c r="B50" s="263"/>
      <c r="C50" s="263"/>
      <c r="D50" s="263"/>
      <c r="H50" s="280">
        <f>Mar!H51</f>
        <v>0.33333333333333331</v>
      </c>
      <c r="I50" s="185">
        <f>SUM(I17:I49)</f>
        <v>0.6666666666666673</v>
      </c>
      <c r="J50" s="186">
        <f>SUM(J17:J49)</f>
        <v>0</v>
      </c>
      <c r="K50" s="187" t="str">
        <f ca="1">IF(SUMIF(K19:K48,"",L19:L48)&lt;SUMIF(K19:K48,"-",L19:L48),"-","")</f>
        <v/>
      </c>
      <c r="L50" s="188">
        <f ca="1">ABS(SUMIF(K19:K48,"",L19:L48)-SUMIF(K19:K48,"-",L19:L48))</f>
        <v>6.2500000000000111E-2</v>
      </c>
    </row>
    <row r="51" spans="1:14" ht="13.5" thickBot="1" x14ac:dyDescent="0.25">
      <c r="A51" s="189"/>
      <c r="B51" s="189"/>
      <c r="C51" s="189"/>
      <c r="D51" s="189"/>
      <c r="G51" s="190" t="s">
        <v>12</v>
      </c>
      <c r="H51" s="281">
        <f>Mar!H52</f>
        <v>0.33333333333333331</v>
      </c>
      <c r="I51" s="191"/>
      <c r="J51" s="192"/>
      <c r="K51" s="193"/>
      <c r="L51" s="194"/>
    </row>
    <row r="52" spans="1:14" x14ac:dyDescent="0.2">
      <c r="A52" s="189"/>
      <c r="B52" s="189"/>
      <c r="C52" s="189"/>
      <c r="D52" s="189"/>
      <c r="G52" s="195"/>
      <c r="H52" s="281">
        <f>Mar!H53</f>
        <v>0.33333333333333331</v>
      </c>
      <c r="I52" s="196">
        <f>IF(I50&gt;J50,I50-J50,0)</f>
        <v>0.6666666666666673</v>
      </c>
      <c r="J52" s="197" t="str">
        <f>IF(J50&gt;I50,J50-I50,"")</f>
        <v/>
      </c>
      <c r="K52" s="204"/>
      <c r="L52" s="204"/>
    </row>
    <row r="53" spans="1:14" ht="13.5" thickBot="1" x14ac:dyDescent="0.25">
      <c r="A53" s="199" t="s">
        <v>15</v>
      </c>
      <c r="B53" s="199"/>
      <c r="C53" s="199"/>
      <c r="D53" s="199"/>
      <c r="E53" s="200"/>
      <c r="F53" s="200"/>
      <c r="G53" s="190" t="s">
        <v>13</v>
      </c>
      <c r="H53" s="281">
        <f>Mar!H54</f>
        <v>0.33333333333333331</v>
      </c>
      <c r="I53" s="201"/>
      <c r="J53" s="202"/>
      <c r="K53" s="204"/>
      <c r="L53" s="204"/>
    </row>
    <row r="54" spans="1:14" ht="13.5" thickBot="1" x14ac:dyDescent="0.25">
      <c r="A54" s="203" t="s">
        <v>4</v>
      </c>
      <c r="B54" s="203"/>
      <c r="C54" s="203"/>
      <c r="D54" s="203"/>
      <c r="E54" s="200"/>
      <c r="F54" s="200"/>
      <c r="G54" s="200"/>
      <c r="H54" s="281">
        <f>Mar!H55</f>
        <v>0.3125</v>
      </c>
      <c r="I54" s="200"/>
      <c r="J54" s="200"/>
      <c r="K54" s="204"/>
      <c r="L54" s="204"/>
    </row>
    <row r="55" spans="1:14" ht="13.35" customHeight="1" x14ac:dyDescent="0.2">
      <c r="A55" s="189"/>
      <c r="B55" s="189"/>
      <c r="C55" s="189"/>
      <c r="D55" s="189"/>
      <c r="E55" s="271" t="str">
        <f>Jan!E56</f>
        <v xml:space="preserve"> </v>
      </c>
      <c r="F55" s="206"/>
      <c r="G55" s="207" t="str">
        <f>IF(E55=" ", " ", IF(Mantelbogen!D26=I11,Mantelbogen!C29,Mar!G58))</f>
        <v xml:space="preserve"> </v>
      </c>
      <c r="H55" s="282">
        <v>0</v>
      </c>
      <c r="I55" s="223" t="s">
        <v>144</v>
      </c>
      <c r="J55" s="224"/>
      <c r="K55" s="204"/>
      <c r="L55" s="204"/>
    </row>
    <row r="56" spans="1:14" ht="13.5" thickBot="1" x14ac:dyDescent="0.25">
      <c r="A56" s="189"/>
      <c r="B56" s="189"/>
      <c r="C56" s="189"/>
      <c r="D56" s="189"/>
      <c r="E56" s="271" t="str">
        <f>Jan!E57</f>
        <v xml:space="preserve"> </v>
      </c>
      <c r="F56" s="207"/>
      <c r="G56" s="207" t="str">
        <f>IF(E55=" ", " ", -COUNTIF(C19:C48, "Urlaub*" ))</f>
        <v xml:space="preserve"> </v>
      </c>
      <c r="H56" s="283">
        <v>0</v>
      </c>
      <c r="I56" s="225"/>
      <c r="J56" s="226"/>
      <c r="K56" s="204"/>
      <c r="L56" s="204"/>
    </row>
    <row r="57" spans="1:14" ht="24.6" customHeight="1" thickBot="1" x14ac:dyDescent="0.25">
      <c r="A57" s="199" t="s">
        <v>10</v>
      </c>
      <c r="B57" s="199"/>
      <c r="C57" s="199"/>
      <c r="D57" s="199"/>
      <c r="E57" s="276" t="str">
        <f>Jan!E58</f>
        <v xml:space="preserve"> </v>
      </c>
      <c r="F57" s="277"/>
      <c r="G57" s="211" t="str">
        <f>IF(E55=" ", " ", IF(Mantelbogen!C29 &gt; 0.0001, G55+G56, 0))</f>
        <v xml:space="preserve"> </v>
      </c>
      <c r="H57" s="287">
        <f>SUM(H50:H56)</f>
        <v>1.6458333333333333</v>
      </c>
      <c r="I57" s="227"/>
      <c r="J57" s="228"/>
      <c r="L57" s="212" t="str">
        <f>Mantelbogen!D50</f>
        <v>15.12.2025  HAdW / G. Wolff</v>
      </c>
    </row>
    <row r="59" spans="1:14" x14ac:dyDescent="0.2">
      <c r="G59" s="214"/>
      <c r="H59" s="214"/>
      <c r="I59" s="214"/>
      <c r="J59" s="207"/>
    </row>
    <row r="60" spans="1:14" x14ac:dyDescent="0.2">
      <c r="G60" s="207"/>
      <c r="H60" s="207"/>
      <c r="I60" s="207"/>
      <c r="J60" s="207"/>
    </row>
    <row r="61" spans="1:14" x14ac:dyDescent="0.2">
      <c r="G61" s="207"/>
      <c r="H61" s="207"/>
    </row>
  </sheetData>
  <sheetProtection algorithmName="SHA-512" hashValue="eztDN8Cy1nXNT/RmsGD2WlqMqX++lFTAydrKBAOAVYYsBdRh6HeMI5PRpUMNEJzseViHABjTgLx6bldlYr/zzw==" saltValue="MM8xsPel2MT/1UwEHowL7A==" spinCount="100000" sheet="1" objects="1" scenarios="1"/>
  <mergeCells count="63">
    <mergeCell ref="A3:F3"/>
    <mergeCell ref="A4:F6"/>
    <mergeCell ref="A1:F2"/>
    <mergeCell ref="I12:L13"/>
    <mergeCell ref="A53:D53"/>
    <mergeCell ref="G59:I59"/>
    <mergeCell ref="A54:D54"/>
    <mergeCell ref="A55:D56"/>
    <mergeCell ref="I55:J57"/>
    <mergeCell ref="A57:D57"/>
    <mergeCell ref="J52:J53"/>
    <mergeCell ref="I52:I53"/>
    <mergeCell ref="F48:G48"/>
    <mergeCell ref="A50:D50"/>
    <mergeCell ref="I50:I51"/>
    <mergeCell ref="J50:J51"/>
    <mergeCell ref="A51:D52"/>
    <mergeCell ref="F47:G47"/>
    <mergeCell ref="F36:G36"/>
    <mergeCell ref="F37:G37"/>
    <mergeCell ref="F38:G38"/>
    <mergeCell ref="F39:G39"/>
    <mergeCell ref="F40:G40"/>
    <mergeCell ref="F41:G41"/>
    <mergeCell ref="F42:G42"/>
    <mergeCell ref="F43:G43"/>
    <mergeCell ref="F44:G44"/>
    <mergeCell ref="F45:G45"/>
    <mergeCell ref="F46:G46"/>
    <mergeCell ref="H15:H18"/>
    <mergeCell ref="F22:G22"/>
    <mergeCell ref="F35:G35"/>
    <mergeCell ref="F24:G24"/>
    <mergeCell ref="F25:G25"/>
    <mergeCell ref="F26:G26"/>
    <mergeCell ref="F27:G27"/>
    <mergeCell ref="F28:G28"/>
    <mergeCell ref="F29:G29"/>
    <mergeCell ref="F30:G30"/>
    <mergeCell ref="F31:G31"/>
    <mergeCell ref="F32:G32"/>
    <mergeCell ref="F33:G33"/>
    <mergeCell ref="F34:G34"/>
    <mergeCell ref="E15:E18"/>
    <mergeCell ref="F15:G18"/>
    <mergeCell ref="F19:G19"/>
    <mergeCell ref="F20:G20"/>
    <mergeCell ref="F21:G21"/>
    <mergeCell ref="K50:K51"/>
    <mergeCell ref="L50:L51"/>
    <mergeCell ref="G1:J7"/>
    <mergeCell ref="A11:B11"/>
    <mergeCell ref="A13:B13"/>
    <mergeCell ref="A15:A18"/>
    <mergeCell ref="I15:J15"/>
    <mergeCell ref="I17:I18"/>
    <mergeCell ref="J17:J18"/>
    <mergeCell ref="K15:L16"/>
    <mergeCell ref="K17:L18"/>
    <mergeCell ref="F23:G23"/>
    <mergeCell ref="B15:B18"/>
    <mergeCell ref="C15:C18"/>
    <mergeCell ref="D15:D18"/>
  </mergeCells>
  <phoneticPr fontId="0" type="noConversion"/>
  <conditionalFormatting sqref="A19:A49 C19:L49">
    <cfRule type="expression" dxfId="117" priority="1">
      <formula>COUNT(SEARCH(Sonderarbeit,$N19))&gt;=1</formula>
    </cfRule>
  </conditionalFormatting>
  <conditionalFormatting sqref="A19:L48">
    <cfRule type="expression" dxfId="109" priority="11">
      <formula>AND(ISTEXT($C19),$C19&lt;&gt;"Kinderkrankentag",$C19&lt;&gt;"Urlaub",$C19&lt;&gt;"Krank",$C19&lt;&gt;"Ausgleich")</formula>
    </cfRule>
  </conditionalFormatting>
  <conditionalFormatting sqref="C19:C48">
    <cfRule type="expression" dxfId="116" priority="13">
      <formula>ISTEXT($C19)</formula>
    </cfRule>
  </conditionalFormatting>
  <conditionalFormatting sqref="D19:H48">
    <cfRule type="expression" dxfId="114" priority="10">
      <formula>AND(ISTEXT($C19),OR($C19="Kinderkrankentag",$C19="Urlaub",$C19="Krank",$C19="Ausgleich"))</formula>
    </cfRule>
  </conditionalFormatting>
  <conditionalFormatting sqref="D19:J48">
    <cfRule type="expression" dxfId="110" priority="3">
      <formula>AND(ISTEXT($C19),$C19&lt;&gt;"Kinderkrankentag",$C19&lt;&gt;"Urlaub",$C19&lt;&gt;"Krank",$C19&lt;&gt;"Ausgleich")</formula>
    </cfRule>
  </conditionalFormatting>
  <conditionalFormatting sqref="F19:F48">
    <cfRule type="expression" dxfId="112" priority="42">
      <formula>AND(ISNONTEXT($C19),$F19 &gt; 0.666667)</formula>
    </cfRule>
  </conditionalFormatting>
  <dataValidations count="1">
    <dataValidation type="custom" errorStyle="warning" allowBlank="1" showErrorMessage="1" errorTitle="Samstagsarbeit" error="Tragen Sie hier bitte nur etwas ein, wenn Sie tatsächlich REGELMÄßIG und angeordnet Samstag arbeiten. Ansonsten tragen Sie bitte am entsprechenden Tag in Spalte N „Samstagsarbeit“ ein und der entsprechende Tag wird verfügbar." promptTitle="Samstagsarbeit" prompt="Tragen Sie hier bitte nur etwas ein, wenn Sie tatsächlich REGELMÄßIG und angeordnet Samstag arbeiten. Ansonsten tragen Sie bitte am entsprechenden Tag in Spalte N „Samstagsarbeit“ ein und der entsprechende Tag wird verfügbar." sqref="H55" xr:uid="{A0BAEC64-1D98-42C4-B4CC-F6952797F025}">
      <formula1>$A$4="Arbeitszeitblatt"</formula1>
    </dataValidation>
  </dataValidations>
  <printOptions horizontalCentered="1" verticalCentered="1"/>
  <pageMargins left="1.0236220472440944" right="0.23622047244094491" top="0.15748031496062992" bottom="0.19685039370078741" header="0.15748031496062992" footer="0.15748031496062992"/>
  <pageSetup paperSize="9" scale="82" orientation="portrait" horizontalDpi="1200" verticalDpi="1200"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2" id="{5C02ABC6-357E-43F5-8576-20E5E259018C}">
            <xm:f>OR(AND($B19=Ref!$A$7,$H$55=0), AND($B19=Ref!$A$8,$H$56=0), NOT( ISERROR(FIND("feiertag",LOWER($C19)) ) ) )</xm:f>
            <x14:dxf>
              <fill>
                <patternFill patternType="solid">
                  <bgColor theme="4" tint="0.79998168889431442"/>
                </patternFill>
              </fill>
            </x14:dxf>
          </x14:cfRule>
          <xm:sqref>A19:L48</xm:sqref>
        </x14:conditionalFormatting>
        <x14:conditionalFormatting xmlns:xm="http://schemas.microsoft.com/office/excel/2006/main">
          <x14:cfRule type="expression" priority="16" id="{7B11B441-9B75-4776-B60E-C1F518562D47}">
            <xm:f>AND($B19=Ref!$A$8, $H$56&gt;0.00001)</xm:f>
            <x14:dxf>
              <font>
                <b val="0"/>
                <i val="0"/>
                <color theme="1"/>
              </font>
            </x14:dxf>
          </x14:cfRule>
          <xm:sqref>C19:C48</xm:sqref>
        </x14:conditionalFormatting>
        <x14:conditionalFormatting xmlns:xm="http://schemas.microsoft.com/office/excel/2006/main">
          <x14:cfRule type="expression" priority="14" id="{F0B7F4B0-AA38-4012-A2E0-49A475966D4D}">
            <xm:f>OR(AND($B19=Ref!$A$7, $H$55&lt;0.00001),AND($B19=Ref!$A$8, $H$56&lt;0.00001))</xm:f>
            <x14:dxf>
              <font>
                <color theme="4" tint="0.79998168889431442"/>
              </font>
              <fill>
                <patternFill>
                  <bgColor theme="4" tint="0.79998168889431442"/>
                </patternFill>
              </fill>
            </x14:dxf>
          </x14:cfRule>
          <xm:sqref>C19:J48</xm:sqref>
        </x14:conditionalFormatting>
        <x14:conditionalFormatting xmlns:xm="http://schemas.microsoft.com/office/excel/2006/main">
          <x14:cfRule type="expression" priority="2" id="{03B7F450-944F-4236-9F2D-4296B49C1023}">
            <xm:f>AND(OR(AND($F19 &gt; 0.250001, $E19 &lt; 0.020833332), AND($F19 &gt; 0.375, $E19 &lt; 0.03124999)  ),OR(AND($B4&lt;&gt;Ref!$A$7, $B4&lt;&gt;Ref!$A$8),COUNT(SEARCH(Sonderarbeit,$N19))&gt;=1),ISNUMBER($C19))</xm:f>
            <x14:dxf>
              <fill>
                <patternFill>
                  <bgColor rgb="FFFF0000"/>
                </patternFill>
              </fill>
            </x14:dxf>
          </x14:cfRule>
          <xm:sqref>E19:E49</xm:sqref>
        </x14:conditionalFormatting>
        <x14:conditionalFormatting xmlns:xm="http://schemas.microsoft.com/office/excel/2006/main">
          <x14:cfRule type="expression" priority="15" id="{EFC08DBE-8EF8-4DDE-9DD8-6172D90ED8F7}">
            <xm:f>AND($B19=Ref!$A$7, $H$55&gt;0.00001)</xm:f>
            <x14:dxf>
              <font>
                <b val="0"/>
                <i val="0"/>
                <color theme="1"/>
              </font>
            </x14:dxf>
          </x14:cfRule>
          <xm:sqref>F19:G48</xm:sqref>
        </x14:conditionalFormatting>
      </x14:conditionalFormattings>
    </ext>
    <ext xmlns:x14="http://schemas.microsoft.com/office/spreadsheetml/2009/9/main" uri="{CCE6A557-97BC-4b89-ADB6-D9C93CAAB3DF}">
      <x14:dataValidations xmlns:xm="http://schemas.microsoft.com/office/excel/2006/main" count="1">
        <x14:dataValidation type="custom" errorStyle="information" allowBlank="1" showInputMessage="1" showErrorMessage="1" errorTitle="Samstagsarbeit" error="Tragen Sie hier bitte nur die tasächlich angefallene Arbeit ein. Tragen Sie ggf. anfallende Zuschläge auf ein separates Tabellenblatt ein und übertragen diese in das Kästchen I49." xr:uid="{F1D44B0C-0151-44E6-BCEB-42BDAE42CF5A}">
          <x14:formula1>
            <xm:f>NOT(OFFSET(C19,0,2-COLUMN(C19))=Ref!$A$7)</xm:f>
          </x14:formula1>
          <xm:sqref>C19:E48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pageSetUpPr fitToPage="1"/>
  </sheetPr>
  <dimension ref="A1:N60"/>
  <sheetViews>
    <sheetView zoomScaleNormal="100" workbookViewId="0">
      <selection sqref="A1:F2"/>
    </sheetView>
  </sheetViews>
  <sheetFormatPr defaultColWidth="11.5703125" defaultRowHeight="12.75" x14ac:dyDescent="0.2"/>
  <cols>
    <col min="1" max="1" width="5.5703125" style="125" customWidth="1"/>
    <col min="2" max="2" width="9.85546875" style="102" bestFit="1" customWidth="1"/>
    <col min="3" max="3" width="15.7109375" style="102" bestFit="1" customWidth="1"/>
    <col min="4" max="4" width="13.7109375" style="102" bestFit="1" customWidth="1"/>
    <col min="5" max="5" width="11.28515625" style="98" customWidth="1"/>
    <col min="6" max="6" width="7.85546875" style="98" customWidth="1"/>
    <col min="7" max="7" width="3.5703125" style="98" customWidth="1"/>
    <col min="8" max="8" width="14.140625" style="98" bestFit="1" customWidth="1"/>
    <col min="9" max="9" width="11" style="98" bestFit="1" customWidth="1"/>
    <col min="10" max="10" width="12.140625" style="98" bestFit="1" customWidth="1"/>
    <col min="11" max="11" width="2.85546875" style="98" customWidth="1"/>
    <col min="12" max="12" width="8.85546875" style="98" customWidth="1"/>
    <col min="13" max="13" width="16.42578125" style="99" customWidth="1"/>
    <col min="14" max="14" width="19.42578125" style="100" bestFit="1" customWidth="1"/>
    <col min="15" max="16384" width="11.5703125" style="98"/>
  </cols>
  <sheetData>
    <row r="1" spans="1:14" ht="15" customHeight="1" x14ac:dyDescent="0.2">
      <c r="A1" s="215" t="s">
        <v>48</v>
      </c>
      <c r="B1" s="215"/>
      <c r="C1" s="215"/>
      <c r="D1" s="215"/>
      <c r="E1" s="215"/>
      <c r="F1" s="215"/>
      <c r="G1" s="97" t="s">
        <v>9</v>
      </c>
      <c r="H1" s="97"/>
      <c r="I1" s="97"/>
      <c r="J1" s="97"/>
    </row>
    <row r="2" spans="1:14" ht="15" customHeight="1" x14ac:dyDescent="0.2">
      <c r="A2" s="215"/>
      <c r="B2" s="215"/>
      <c r="C2" s="215"/>
      <c r="D2" s="215"/>
      <c r="E2" s="215"/>
      <c r="F2" s="215"/>
      <c r="G2" s="97"/>
      <c r="H2" s="97"/>
      <c r="I2" s="97"/>
      <c r="J2" s="97"/>
    </row>
    <row r="3" spans="1:14" x14ac:dyDescent="0.2">
      <c r="A3" s="216" t="s">
        <v>11</v>
      </c>
      <c r="B3" s="216"/>
      <c r="C3" s="216"/>
      <c r="D3" s="216"/>
      <c r="E3" s="216"/>
      <c r="F3" s="216"/>
      <c r="G3" s="97"/>
      <c r="H3" s="97"/>
      <c r="I3" s="97"/>
      <c r="J3" s="97"/>
    </row>
    <row r="4" spans="1:14" ht="13.35" customHeight="1" x14ac:dyDescent="0.2">
      <c r="A4" s="217" t="s">
        <v>5</v>
      </c>
      <c r="B4" s="217"/>
      <c r="C4" s="217"/>
      <c r="D4" s="217"/>
      <c r="E4" s="217"/>
      <c r="F4" s="217"/>
      <c r="G4" s="97"/>
      <c r="H4" s="97"/>
      <c r="I4" s="97"/>
      <c r="J4" s="97"/>
    </row>
    <row r="5" spans="1:14" ht="6" customHeight="1" x14ac:dyDescent="0.2">
      <c r="A5" s="217"/>
      <c r="B5" s="217"/>
      <c r="C5" s="217"/>
      <c r="D5" s="217"/>
      <c r="E5" s="217"/>
      <c r="F5" s="217"/>
      <c r="G5" s="97"/>
      <c r="H5" s="97"/>
      <c r="I5" s="97"/>
      <c r="J5" s="97"/>
    </row>
    <row r="6" spans="1:14" ht="13.35" customHeight="1" x14ac:dyDescent="0.2">
      <c r="A6" s="217"/>
      <c r="B6" s="217"/>
      <c r="C6" s="217"/>
      <c r="D6" s="217"/>
      <c r="E6" s="217"/>
      <c r="F6" s="217"/>
      <c r="G6" s="97"/>
      <c r="H6" s="97"/>
      <c r="I6" s="97"/>
      <c r="J6" s="97"/>
    </row>
    <row r="7" spans="1:14" ht="13.35" customHeight="1" x14ac:dyDescent="0.2">
      <c r="A7" s="102"/>
      <c r="B7" s="101"/>
      <c r="C7" s="101"/>
      <c r="D7" s="101"/>
      <c r="E7" s="101"/>
      <c r="F7" s="101"/>
      <c r="G7" s="97"/>
      <c r="H7" s="97"/>
      <c r="I7" s="97"/>
      <c r="J7" s="97"/>
    </row>
    <row r="8" spans="1:14" ht="6" customHeight="1" thickBot="1" x14ac:dyDescent="0.25">
      <c r="A8" s="103"/>
      <c r="B8" s="104"/>
      <c r="C8" s="104"/>
      <c r="D8" s="104"/>
      <c r="E8" s="105"/>
      <c r="F8" s="105"/>
      <c r="G8" s="105"/>
      <c r="H8" s="105"/>
      <c r="I8" s="106"/>
      <c r="J8" s="106"/>
      <c r="K8" s="107"/>
      <c r="L8" s="108"/>
    </row>
    <row r="9" spans="1:14" ht="6" customHeight="1" x14ac:dyDescent="0.2">
      <c r="A9" s="109"/>
      <c r="B9" s="110"/>
      <c r="C9" s="110"/>
      <c r="D9" s="110"/>
      <c r="E9" s="111"/>
      <c r="F9" s="111"/>
      <c r="G9" s="111"/>
      <c r="H9" s="111"/>
      <c r="I9" s="112"/>
      <c r="J9" s="112"/>
      <c r="K9" s="113"/>
      <c r="L9" s="114"/>
    </row>
    <row r="10" spans="1:14" x14ac:dyDescent="0.2">
      <c r="A10" s="109"/>
      <c r="B10" s="110"/>
      <c r="C10" s="110"/>
      <c r="D10" s="110"/>
      <c r="E10" s="111"/>
      <c r="F10" s="111"/>
      <c r="G10" s="111"/>
      <c r="I10" s="112"/>
      <c r="J10" s="112"/>
      <c r="K10" s="113"/>
      <c r="L10" s="114"/>
    </row>
    <row r="11" spans="1:14" x14ac:dyDescent="0.2">
      <c r="A11" s="115" t="s">
        <v>6</v>
      </c>
      <c r="B11" s="115"/>
      <c r="C11" s="116" t="str">
        <f>Apr!C11</f>
        <v>ATHENE, Pallas</v>
      </c>
      <c r="D11" s="117"/>
      <c r="E11" s="118"/>
      <c r="F11" s="119"/>
      <c r="G11" s="119" t="s">
        <v>8</v>
      </c>
      <c r="H11" s="120"/>
      <c r="I11" s="121">
        <f>DATE(J11,5,1)</f>
        <v>46143</v>
      </c>
      <c r="J11" s="122">
        <f>Jan!J11</f>
        <v>2026</v>
      </c>
      <c r="K11" s="123"/>
      <c r="L11" s="124"/>
    </row>
    <row r="12" spans="1:14" x14ac:dyDescent="0.2">
      <c r="B12" s="114"/>
      <c r="C12" s="126"/>
      <c r="D12" s="127"/>
      <c r="E12" s="119"/>
      <c r="F12" s="119"/>
      <c r="G12" s="111"/>
      <c r="I12" s="112"/>
      <c r="J12" s="128"/>
      <c r="K12" s="113"/>
      <c r="L12" s="114"/>
    </row>
    <row r="13" spans="1:14" x14ac:dyDescent="0.2">
      <c r="A13" s="115" t="s">
        <v>7</v>
      </c>
      <c r="B13" s="115"/>
      <c r="C13" s="129" t="str">
        <f>Apr!C13</f>
        <v>Geschäftsstelle</v>
      </c>
      <c r="D13" s="130"/>
      <c r="E13" s="118"/>
      <c r="F13" s="131"/>
      <c r="G13" s="131"/>
      <c r="H13" s="120"/>
      <c r="I13" s="117"/>
      <c r="J13" s="118"/>
      <c r="K13" s="123"/>
      <c r="L13" s="124"/>
    </row>
    <row r="14" spans="1:14" ht="13.5" thickBot="1" x14ac:dyDescent="0.25">
      <c r="K14" s="113"/>
      <c r="L14" s="114"/>
    </row>
    <row r="15" spans="1:14" ht="13.35" customHeight="1" x14ac:dyDescent="0.2">
      <c r="A15" s="132"/>
      <c r="B15" s="132" t="s">
        <v>14</v>
      </c>
      <c r="C15" s="132" t="s">
        <v>110</v>
      </c>
      <c r="D15" s="132" t="s">
        <v>145</v>
      </c>
      <c r="E15" s="132" t="s">
        <v>16</v>
      </c>
      <c r="F15" s="133" t="s">
        <v>42</v>
      </c>
      <c r="G15" s="133"/>
      <c r="H15" s="134" t="s">
        <v>43</v>
      </c>
      <c r="I15" s="135" t="s">
        <v>0</v>
      </c>
      <c r="J15" s="136"/>
      <c r="K15" s="137" t="s">
        <v>41</v>
      </c>
      <c r="L15" s="138"/>
      <c r="M15" s="139"/>
      <c r="N15" s="140"/>
    </row>
    <row r="16" spans="1:14" ht="13.5" thickBot="1" x14ac:dyDescent="0.25">
      <c r="A16" s="132"/>
      <c r="B16" s="132"/>
      <c r="C16" s="132"/>
      <c r="D16" s="132"/>
      <c r="E16" s="132"/>
      <c r="F16" s="133"/>
      <c r="G16" s="133"/>
      <c r="H16" s="141"/>
      <c r="I16" s="142" t="s">
        <v>1</v>
      </c>
      <c r="J16" s="143" t="s">
        <v>2</v>
      </c>
      <c r="K16" s="144"/>
      <c r="L16" s="145"/>
      <c r="M16" s="139"/>
      <c r="N16" s="146"/>
    </row>
    <row r="17" spans="1:14" ht="13.5" thickBot="1" x14ac:dyDescent="0.25">
      <c r="A17" s="132"/>
      <c r="B17" s="132"/>
      <c r="C17" s="132"/>
      <c r="D17" s="132"/>
      <c r="E17" s="132"/>
      <c r="F17" s="133"/>
      <c r="G17" s="133"/>
      <c r="H17" s="141"/>
      <c r="I17" s="147">
        <f>IF(Mantelbogen!D26=I11,Mantelbogen!C28,Apr!I52)</f>
        <v>0.6666666666666673</v>
      </c>
      <c r="J17" s="148" t="str">
        <f>IF(Mantelbogen!D26=I11,Mantelbogen!D28,Apr!J52)</f>
        <v/>
      </c>
      <c r="K17" s="149" t="str">
        <f>IF(I17/H58 &gt; 1, I17/H58, " " )</f>
        <v xml:space="preserve"> </v>
      </c>
      <c r="L17" s="150"/>
      <c r="N17" s="151"/>
    </row>
    <row r="18" spans="1:14" ht="13.5" thickBot="1" x14ac:dyDescent="0.25">
      <c r="A18" s="132"/>
      <c r="B18" s="132"/>
      <c r="C18" s="132"/>
      <c r="D18" s="132"/>
      <c r="E18" s="132"/>
      <c r="F18" s="133"/>
      <c r="G18" s="133"/>
      <c r="H18" s="152"/>
      <c r="I18" s="147"/>
      <c r="J18" s="148"/>
      <c r="K18" s="153"/>
      <c r="L18" s="154"/>
      <c r="N18" s="151"/>
    </row>
    <row r="19" spans="1:14" ht="17.45" customHeight="1" x14ac:dyDescent="0.35">
      <c r="A19" s="155">
        <v>1</v>
      </c>
      <c r="B19" s="156" t="str">
        <f>TEXT(DATE(J$11,MONTH(I$11),A19),Textcode)</f>
        <v>Freitag</v>
      </c>
      <c r="C19" s="157" t="s">
        <v>84</v>
      </c>
      <c r="D19" s="157">
        <v>0.70833333333333337</v>
      </c>
      <c r="E19" s="157">
        <v>2.0833333333333332E-2</v>
      </c>
      <c r="F19" s="158">
        <f>IF(ISTEXT(C19),,D19-C19-E19)</f>
        <v>0</v>
      </c>
      <c r="G19" s="159"/>
      <c r="H19" s="160">
        <f t="shared" ref="H19:H23" si="0">IF(AND(ISTEXT(C19),ISERR(SEARCH("ausgleich",C19,1))),,INDEX(H$51:H$58,WEEKDAY(DATE(J$11,MONTH(I$11),A19),2),1,1))</f>
        <v>0</v>
      </c>
      <c r="I19" s="161" t="str" cm="1">
        <f t="array" ref="I19">IF(AND(F19&gt;H19,OR(AND(OR($B19&lt;&gt;Ref!$A$7,$H$56&gt;0),OR($B19&lt;&gt;Ref!$A$8,$H$57&gt;0)),COUNT(SEARCH(Sonderarbeit,$N19))&gt;=1),ISNONTEXT(C19),C19&lt;&gt;""),F19-H19,"")</f>
        <v/>
      </c>
      <c r="J19" s="162" t="str" cm="1">
        <f t="array" ref="J19">IF(OR(AND(F19&lt;H19,OR(AND(OR($B19&lt;&gt;Ref!$A$7,$H$56&gt;0),OR($B19&lt;&gt;Ref!$A$8,$H$57&gt;0)),COUNT(SEARCH(Sonderarbeit,$N19))&gt;=1)),C19="Ausgleich"),H19-F19,"")</f>
        <v/>
      </c>
      <c r="K19" s="163" t="str">
        <f>IF(AND(B19=Ref!$A$8,SUM(I19:I19)&lt;SUM(J19:J19)),"-","")</f>
        <v/>
      </c>
      <c r="L19" s="164" t="str">
        <f>IF(B19=Ref!$A$8,ABS(SUM(I19:I19)-SUM(J19:J19)),"")</f>
        <v/>
      </c>
      <c r="N19" s="165"/>
    </row>
    <row r="20" spans="1:14" ht="17.45" customHeight="1" x14ac:dyDescent="0.35">
      <c r="A20" s="155">
        <v>2</v>
      </c>
      <c r="B20" s="156" t="str">
        <f t="shared" ref="B20:B49" si="1">TEXT(DATE(J$11,MONTH(I$11),A20),Textcode)</f>
        <v>Samstag</v>
      </c>
      <c r="C20" s="157">
        <v>0.35416666666666669</v>
      </c>
      <c r="D20" s="157">
        <v>0.70833333333333337</v>
      </c>
      <c r="E20" s="157">
        <v>2.0833333333333332E-2</v>
      </c>
      <c r="F20" s="158">
        <f>IF(ISTEXT(C20),,D20-C20-E20)</f>
        <v>0.33333333333333337</v>
      </c>
      <c r="G20" s="159"/>
      <c r="H20" s="160">
        <f t="shared" si="0"/>
        <v>0</v>
      </c>
      <c r="I20" s="161" t="str" cm="1">
        <f t="array" ref="I20">IF(AND(F20&gt;H20,OR(AND(OR($B20&lt;&gt;Ref!$A$7,$H$56&gt;0),OR($B20&lt;&gt;Ref!$A$8,$H$57&gt;0)),COUNT(SEARCH(Sonderarbeit,$N20))&gt;=1),ISNONTEXT(C20),C20&lt;&gt;""),F20-H20,"")</f>
        <v/>
      </c>
      <c r="J20" s="162" t="str" cm="1">
        <f t="array" ref="J20">IF(OR(AND(F20&lt;H20,OR(AND(OR($B20&lt;&gt;Ref!$A$7,$H$56&gt;0),OR($B20&lt;&gt;Ref!$A$8,$H$57&gt;0)),COUNT(SEARCH(Sonderarbeit,$N20))&gt;=1)),C20="Ausgleich"),H20-F20,"")</f>
        <v/>
      </c>
      <c r="K20" s="166" t="str">
        <f>IF(AND(B20=Ref!$A$8,SUM(I19:I20)&lt;SUM(J19:J20)),"-","")</f>
        <v/>
      </c>
      <c r="L20" s="167" t="str">
        <f>IF(B20=Ref!$A$8,ABS(SUM(I19:I20)-SUM(J19:J20)),"")</f>
        <v/>
      </c>
    </row>
    <row r="21" spans="1:14" ht="17.45" customHeight="1" x14ac:dyDescent="0.35">
      <c r="A21" s="155">
        <v>3</v>
      </c>
      <c r="B21" s="156" t="str">
        <f t="shared" si="1"/>
        <v>Sonntag</v>
      </c>
      <c r="C21" s="157">
        <v>0.35416666666666669</v>
      </c>
      <c r="D21" s="157">
        <v>0.70833333333333337</v>
      </c>
      <c r="E21" s="157">
        <v>2.0833333333333332E-2</v>
      </c>
      <c r="F21" s="158">
        <f>IF(ISTEXT(C21),,D21-C21-E21)</f>
        <v>0.33333333333333337</v>
      </c>
      <c r="G21" s="159"/>
      <c r="H21" s="160">
        <f t="shared" si="0"/>
        <v>0</v>
      </c>
      <c r="I21" s="161" t="str" cm="1">
        <f t="array" ref="I21">IF(AND(F21&gt;H21,OR(AND(OR($B21&lt;&gt;Ref!$A$7,$H$56&gt;0),OR($B21&lt;&gt;Ref!$A$8,$H$57&gt;0)),COUNT(SEARCH(Sonderarbeit,$N21))&gt;=1),ISNONTEXT(C21),C21&lt;&gt;""),F21-H21,"")</f>
        <v/>
      </c>
      <c r="J21" s="162" t="str" cm="1">
        <f t="array" ref="J21">IF(OR(AND(F21&lt;H21,OR(AND(OR($B21&lt;&gt;Ref!$A$7,$H$56&gt;0),OR($B21&lt;&gt;Ref!$A$8,$H$57&gt;0)),COUNT(SEARCH(Sonderarbeit,$N21))&gt;=1)),C21="Ausgleich"),H21-F21,"")</f>
        <v/>
      </c>
      <c r="K21" s="166" t="str">
        <f>IF(AND(B21=Ref!$A$8,SUM(I19:I21)&lt;SUM(J19:J21)),"-","")</f>
        <v/>
      </c>
      <c r="L21" s="167">
        <f>IF(B21=Ref!$A$8,ABS(SUM(I19:I21)-SUM(J19:J21)),"")</f>
        <v>0</v>
      </c>
    </row>
    <row r="22" spans="1:14" ht="17.45" customHeight="1" x14ac:dyDescent="0.35">
      <c r="A22" s="168">
        <v>4</v>
      </c>
      <c r="B22" s="156" t="str">
        <f t="shared" si="1"/>
        <v>Montag</v>
      </c>
      <c r="C22" s="157">
        <v>0.35416666666666669</v>
      </c>
      <c r="D22" s="157">
        <v>0.70833333333333337</v>
      </c>
      <c r="E22" s="157">
        <v>2.0833333333333332E-2</v>
      </c>
      <c r="F22" s="158">
        <f>IF(ISTEXT(C22),,D22-C22-E22)</f>
        <v>0.33333333333333337</v>
      </c>
      <c r="G22" s="159"/>
      <c r="H22" s="160">
        <f t="shared" si="0"/>
        <v>0.33333333333333331</v>
      </c>
      <c r="I22" s="161" t="str" cm="1">
        <f t="array" ref="I22">IF(AND(F22&gt;H22,OR(AND(OR($B22&lt;&gt;Ref!$A$7,$H$56&gt;0),OR($B22&lt;&gt;Ref!$A$8,$H$57&gt;0)),COUNT(SEARCH(Sonderarbeit,$N22))&gt;=1),ISNONTEXT(C22),C22&lt;&gt;""),F22-H22,"")</f>
        <v/>
      </c>
      <c r="J22" s="162" t="str" cm="1">
        <f t="array" ref="J22">IF(OR(AND(F22&lt;H22,OR(AND(OR($B22&lt;&gt;Ref!$A$7,$H$56&gt;0),OR($B22&lt;&gt;Ref!$A$8,$H$57&gt;0)),COUNT(SEARCH(Sonderarbeit,$N22))&gt;=1)),C22="Ausgleich"),H22-F22,"")</f>
        <v/>
      </c>
      <c r="K22" s="166" t="str">
        <f>IF(AND(B22=Ref!$A$8,SUM(I19:I22)&lt;SUM(J19:J22)),"-","")</f>
        <v/>
      </c>
      <c r="L22" s="167" t="str">
        <f>IF(B22=Ref!$A$8,ABS(SUM(I19:I22)-SUM(J19:J22)),"")</f>
        <v/>
      </c>
      <c r="N22" s="169"/>
    </row>
    <row r="23" spans="1:14" ht="17.45" customHeight="1" x14ac:dyDescent="0.35">
      <c r="A23" s="168">
        <v>5</v>
      </c>
      <c r="B23" s="156" t="str">
        <f t="shared" si="1"/>
        <v>Dienstag</v>
      </c>
      <c r="C23" s="157">
        <v>0.35416666666666669</v>
      </c>
      <c r="D23" s="157">
        <v>0.70833333333333337</v>
      </c>
      <c r="E23" s="157">
        <v>2.0833333333333332E-2</v>
      </c>
      <c r="F23" s="158">
        <f>IF(ISTEXT(C23),,D23-C23-E23)</f>
        <v>0.33333333333333337</v>
      </c>
      <c r="G23" s="159"/>
      <c r="H23" s="160">
        <f t="shared" si="0"/>
        <v>0.33333333333333331</v>
      </c>
      <c r="I23" s="161" t="str" cm="1">
        <f t="array" ref="I23">IF(AND(F23&gt;H23,OR(AND(OR($B23&lt;&gt;Ref!$A$7,$H$56&gt;0),OR($B23&lt;&gt;Ref!$A$8,$H$57&gt;0)),COUNT(SEARCH(Sonderarbeit,$N23))&gt;=1),ISNONTEXT(C23),C23&lt;&gt;""),F23-H23,"")</f>
        <v/>
      </c>
      <c r="J23" s="162" t="str" cm="1">
        <f t="array" ref="J23">IF(OR(AND(F23&lt;H23,OR(AND(OR($B23&lt;&gt;Ref!$A$7,$H$56&gt;0),OR($B23&lt;&gt;Ref!$A$8,$H$57&gt;0)),COUNT(SEARCH(Sonderarbeit,$N23))&gt;=1)),C23="Ausgleich"),H23-F23,"")</f>
        <v/>
      </c>
      <c r="K23" s="166" t="str">
        <f>IF(AND(B23=Ref!$A$8,SUM(I19:I23)&lt;SUM(J19:J23)),"-","")</f>
        <v/>
      </c>
      <c r="L23" s="167" t="str">
        <f>IF(B23=Ref!$A$8,ABS(SUM(I19:I23)-SUM(J19:J23)),"")</f>
        <v/>
      </c>
    </row>
    <row r="24" spans="1:14" ht="17.45" customHeight="1" x14ac:dyDescent="0.35">
      <c r="A24" s="155">
        <v>6</v>
      </c>
      <c r="B24" s="156" t="str">
        <f t="shared" si="1"/>
        <v>Mittwoch</v>
      </c>
      <c r="C24" s="157">
        <v>0.35416666666666669</v>
      </c>
      <c r="D24" s="157">
        <v>0.70833333333333337</v>
      </c>
      <c r="E24" s="157">
        <v>2.0833333333333332E-2</v>
      </c>
      <c r="F24" s="158">
        <f>IF(ISTEXT(C24),,D24-C24-E24)</f>
        <v>0.33333333333333337</v>
      </c>
      <c r="G24" s="159"/>
      <c r="H24" s="160">
        <f>IF(AND(ISTEXT(C24),ISERR(SEARCH("ausgleich",C24,1))),,INDEX(H$51:H$58,WEEKDAY(DATE(J$11,MONTH(I$11),A24),2),1,1))</f>
        <v>0.33333333333333331</v>
      </c>
      <c r="I24" s="161" t="str" cm="1">
        <f t="array" ref="I24">IF(AND(F24&gt;H24,OR(AND(OR($B24&lt;&gt;Ref!$A$7,$H$56&gt;0),OR($B24&lt;&gt;Ref!$A$8,$H$57&gt;0)),COUNT(SEARCH(Sonderarbeit,$N24))&gt;=1),ISNONTEXT(C24),C24&lt;&gt;""),F24-H24,"")</f>
        <v/>
      </c>
      <c r="J24" s="162" t="str" cm="1">
        <f t="array" ref="J24">IF(OR(AND(F24&lt;H24,OR(AND(OR($B24&lt;&gt;Ref!$A$7,$H$56&gt;0),OR($B24&lt;&gt;Ref!$A$8,$H$57&gt;0)),COUNT(SEARCH(Sonderarbeit,$N24))&gt;=1)),C24="Ausgleich"),H24-F24,"")</f>
        <v/>
      </c>
      <c r="K24" s="166" t="str">
        <f>IF(AND(B24=Ref!$A$8,SUM(I19:I24)&lt;SUM(J19:J24)),"-","")</f>
        <v/>
      </c>
      <c r="L24" s="167" t="str">
        <f>IF(B24=Ref!$A$8,ABS(SUM(I19:I24)-SUM(J19:J24)),"")</f>
        <v/>
      </c>
    </row>
    <row r="25" spans="1:14" ht="17.45" customHeight="1" x14ac:dyDescent="0.35">
      <c r="A25" s="168">
        <v>7</v>
      </c>
      <c r="B25" s="156" t="str">
        <f t="shared" si="1"/>
        <v>Donnerstag</v>
      </c>
      <c r="C25" s="157">
        <v>0.35416666666666669</v>
      </c>
      <c r="D25" s="157">
        <v>0.70833333333333337</v>
      </c>
      <c r="E25" s="157">
        <v>2.0833333333333332E-2</v>
      </c>
      <c r="F25" s="158">
        <f>IF(ISTEXT(C25),,D25-C25-E25)</f>
        <v>0.33333333333333337</v>
      </c>
      <c r="G25" s="159"/>
      <c r="H25" s="160">
        <f t="shared" ref="H25:H49" si="2">IF(AND(ISTEXT(C25),ISERR(SEARCH("ausgleich",C25,1))),,INDEX(H$51:H$58,WEEKDAY(DATE(J$11,MONTH(I$11),A25),2),1,1))</f>
        <v>0.33333333333333331</v>
      </c>
      <c r="I25" s="161" t="str" cm="1">
        <f t="array" ref="I25">IF(AND(F25&gt;H25,OR(AND(OR($B25&lt;&gt;Ref!$A$7,$H$56&gt;0),OR($B25&lt;&gt;Ref!$A$8,$H$57&gt;0)),COUNT(SEARCH(Sonderarbeit,$N25))&gt;=1),ISNONTEXT(C25),C25&lt;&gt;""),F25-H25,"")</f>
        <v/>
      </c>
      <c r="J25" s="162" t="str" cm="1">
        <f t="array" ref="J25">IF(OR(AND(F25&lt;H25,OR(AND(OR($B25&lt;&gt;Ref!$A$7,$H$56&gt;0),OR($B25&lt;&gt;Ref!$A$8,$H$57&gt;0)),COUNT(SEARCH(Sonderarbeit,$N25))&gt;=1)),C25="Ausgleich"),H25-F25,"")</f>
        <v/>
      </c>
      <c r="K25" s="166" t="str">
        <f>IF(AND(B25=Ref!$A$8,SUM(I19:I25)&lt;SUM(J19:J25)),"-","")</f>
        <v/>
      </c>
      <c r="L25" s="167" t="str">
        <f>IF(B25=Ref!$A$8,ABS(SUM(I19:I25)-SUM(J19:J25)),"")</f>
        <v/>
      </c>
    </row>
    <row r="26" spans="1:14" ht="17.45" customHeight="1" x14ac:dyDescent="0.35">
      <c r="A26" s="168">
        <v>8</v>
      </c>
      <c r="B26" s="156" t="str">
        <f t="shared" si="1"/>
        <v>Freitag</v>
      </c>
      <c r="C26" s="157">
        <v>0.35416666666666669</v>
      </c>
      <c r="D26" s="157">
        <v>0.70833333333333337</v>
      </c>
      <c r="E26" s="157">
        <v>2.0833333333333332E-2</v>
      </c>
      <c r="F26" s="158">
        <f>IF(ISTEXT(C26),,D26-C26-E26)</f>
        <v>0.33333333333333337</v>
      </c>
      <c r="G26" s="159"/>
      <c r="H26" s="160">
        <f t="shared" si="2"/>
        <v>0.3125</v>
      </c>
      <c r="I26" s="161" cm="1">
        <f t="array" ref="I26">IF(AND(F26&gt;H26,OR(AND(OR($B26&lt;&gt;Ref!$A$7,$H$56&gt;0),OR($B26&lt;&gt;Ref!$A$8,$H$57&gt;0)),COUNT(SEARCH(Sonderarbeit,$N26))&gt;=1),ISNONTEXT(C26),C26&lt;&gt;""),F26-H26,"")</f>
        <v>2.083333333333337E-2</v>
      </c>
      <c r="J26" s="162" t="str" cm="1">
        <f t="array" ref="J26">IF(OR(AND(F26&lt;H26,OR(AND(OR($B26&lt;&gt;Ref!$A$7,$H$56&gt;0),OR($B26&lt;&gt;Ref!$A$8,$H$57&gt;0)),COUNT(SEARCH(Sonderarbeit,$N26))&gt;=1)),C26="Ausgleich"),H26-F26,"")</f>
        <v/>
      </c>
      <c r="K26" s="166" t="str">
        <f>IF(AND(B26=Ref!$A$8,SUM(I20:I26)&lt;SUM(J20:J26)),"-","")</f>
        <v/>
      </c>
      <c r="L26" s="167" t="str">
        <f>IF(B26=Ref!$A$8,ABS(SUM(I20:I26)-SUM(J20:J26)),"")</f>
        <v/>
      </c>
    </row>
    <row r="27" spans="1:14" ht="17.45" customHeight="1" x14ac:dyDescent="0.35">
      <c r="A27" s="155">
        <v>9</v>
      </c>
      <c r="B27" s="156" t="str">
        <f t="shared" si="1"/>
        <v>Samstag</v>
      </c>
      <c r="C27" s="157">
        <v>0.35416666666666669</v>
      </c>
      <c r="D27" s="157">
        <v>0.70833333333333337</v>
      </c>
      <c r="E27" s="157">
        <v>2.0833333333333332E-2</v>
      </c>
      <c r="F27" s="158">
        <f>IF(ISTEXT(C27),,D27-C27-E27)</f>
        <v>0.33333333333333337</v>
      </c>
      <c r="G27" s="159"/>
      <c r="H27" s="160">
        <f t="shared" si="2"/>
        <v>0</v>
      </c>
      <c r="I27" s="161" t="str" cm="1">
        <f t="array" ref="I27">IF(AND(F27&gt;H27,OR(AND(OR($B27&lt;&gt;Ref!$A$7,$H$56&gt;0),OR($B27&lt;&gt;Ref!$A$8,$H$57&gt;0)),COUNT(SEARCH(Sonderarbeit,$N27))&gt;=1),ISNONTEXT(C27),C27&lt;&gt;""),F27-H27,"")</f>
        <v/>
      </c>
      <c r="J27" s="162" t="str" cm="1">
        <f t="array" ref="J27">IF(OR(AND(F27&lt;H27,OR(AND(OR($B27&lt;&gt;Ref!$A$7,$H$56&gt;0),OR($B27&lt;&gt;Ref!$A$8,$H$57&gt;0)),COUNT(SEARCH(Sonderarbeit,$N27))&gt;=1)),C27="Ausgleich"),H27-F27,"")</f>
        <v/>
      </c>
      <c r="K27" s="166" t="str">
        <f>IF(AND(B27=Ref!$A$8,SUM(I21:I27)&lt;SUM(J21:J27)),"-","")</f>
        <v/>
      </c>
      <c r="L27" s="167" t="str">
        <f>IF(B27=Ref!$A$8,ABS(SUM(I21:I27)-SUM(J21:J27)),"")</f>
        <v/>
      </c>
    </row>
    <row r="28" spans="1:14" ht="17.45" customHeight="1" x14ac:dyDescent="0.35">
      <c r="A28" s="155">
        <v>10</v>
      </c>
      <c r="B28" s="156" t="str">
        <f t="shared" si="1"/>
        <v>Sonntag</v>
      </c>
      <c r="C28" s="157">
        <v>0.35416666666666669</v>
      </c>
      <c r="D28" s="157">
        <v>0.70833333333333337</v>
      </c>
      <c r="E28" s="157">
        <v>2.0833333333333332E-2</v>
      </c>
      <c r="F28" s="158">
        <f>IF(ISTEXT(C28),,D28-C28-E28)</f>
        <v>0.33333333333333337</v>
      </c>
      <c r="G28" s="159"/>
      <c r="H28" s="160">
        <f t="shared" si="2"/>
        <v>0</v>
      </c>
      <c r="I28" s="161" t="str" cm="1">
        <f t="array" ref="I28">IF(AND(F28&gt;H28,OR(AND(OR($B28&lt;&gt;Ref!$A$7,$H$56&gt;0),OR($B28&lt;&gt;Ref!$A$8,$H$57&gt;0)),COUNT(SEARCH(Sonderarbeit,$N28))&gt;=1),ISNONTEXT(C28),C28&lt;&gt;""),F28-H28,"")</f>
        <v/>
      </c>
      <c r="J28" s="162" t="str" cm="1">
        <f t="array" ref="J28">IF(OR(AND(F28&lt;H28,OR(AND(OR($B28&lt;&gt;Ref!$A$7,$H$56&gt;0),OR($B28&lt;&gt;Ref!$A$8,$H$57&gt;0)),COUNT(SEARCH(Sonderarbeit,$N28))&gt;=1)),C28="Ausgleich"),H28-F28,"")</f>
        <v/>
      </c>
      <c r="K28" s="166" t="str">
        <f>IF(AND(B28=Ref!$A$8,SUM(I22:I28)&lt;SUM(J22:J28)),"-","")</f>
        <v/>
      </c>
      <c r="L28" s="167">
        <f>IF(B28=Ref!$A$8,ABS(SUM(I22:I28)-SUM(J22:J28)),"")</f>
        <v>2.083333333333337E-2</v>
      </c>
    </row>
    <row r="29" spans="1:14" ht="17.45" customHeight="1" x14ac:dyDescent="0.35">
      <c r="A29" s="168">
        <v>11</v>
      </c>
      <c r="B29" s="156" t="str">
        <f t="shared" si="1"/>
        <v>Montag</v>
      </c>
      <c r="C29" s="157">
        <v>0.35416666666666669</v>
      </c>
      <c r="D29" s="157">
        <v>0.70833333333333337</v>
      </c>
      <c r="E29" s="157">
        <v>2.0833333333333332E-2</v>
      </c>
      <c r="F29" s="158">
        <f>IF(ISTEXT(C29),,D29-C29-E29)</f>
        <v>0.33333333333333337</v>
      </c>
      <c r="G29" s="159"/>
      <c r="H29" s="160">
        <f t="shared" si="2"/>
        <v>0.33333333333333331</v>
      </c>
      <c r="I29" s="161" t="str" cm="1">
        <f t="array" ref="I29">IF(AND(F29&gt;H29,OR(AND(OR($B29&lt;&gt;Ref!$A$7,$H$56&gt;0),OR($B29&lt;&gt;Ref!$A$8,$H$57&gt;0)),COUNT(SEARCH(Sonderarbeit,$N29))&gt;=1),ISNONTEXT(C29),C29&lt;&gt;""),F29-H29,"")</f>
        <v/>
      </c>
      <c r="J29" s="162" t="str" cm="1">
        <f t="array" ref="J29">IF(OR(AND(F29&lt;H29,OR(AND(OR($B29&lt;&gt;Ref!$A$7,$H$56&gt;0),OR($B29&lt;&gt;Ref!$A$8,$H$57&gt;0)),COUNT(SEARCH(Sonderarbeit,$N29))&gt;=1)),C29="Ausgleich"),H29-F29,"")</f>
        <v/>
      </c>
      <c r="K29" s="166" t="str">
        <f>IF(AND(B29=Ref!$A$8,SUM(I23:I29)&lt;SUM(J23:J29)),"-","")</f>
        <v/>
      </c>
      <c r="L29" s="167" t="str">
        <f>IF(B29=Ref!$A$8,ABS(SUM(I23:I29)-SUM(J23:J29)),"")</f>
        <v/>
      </c>
    </row>
    <row r="30" spans="1:14" ht="17.45" customHeight="1" x14ac:dyDescent="0.35">
      <c r="A30" s="168">
        <v>12</v>
      </c>
      <c r="B30" s="156" t="str">
        <f t="shared" si="1"/>
        <v>Dienstag</v>
      </c>
      <c r="C30" s="157">
        <v>0.35416666666666669</v>
      </c>
      <c r="D30" s="157">
        <v>0.70833333333333337</v>
      </c>
      <c r="E30" s="157">
        <v>2.0833333333333332E-2</v>
      </c>
      <c r="F30" s="158">
        <f>IF(ISTEXT(C30),,D30-C30-E30)</f>
        <v>0.33333333333333337</v>
      </c>
      <c r="G30" s="159"/>
      <c r="H30" s="160">
        <f t="shared" si="2"/>
        <v>0.33333333333333331</v>
      </c>
      <c r="I30" s="161" t="str" cm="1">
        <f t="array" ref="I30">IF(AND(F30&gt;H30,OR(AND(OR($B30&lt;&gt;Ref!$A$7,$H$56&gt;0),OR($B30&lt;&gt;Ref!$A$8,$H$57&gt;0)),COUNT(SEARCH(Sonderarbeit,$N30))&gt;=1),ISNONTEXT(C30),C30&lt;&gt;""),F30-H30,"")</f>
        <v/>
      </c>
      <c r="J30" s="162" t="str" cm="1">
        <f t="array" ref="J30">IF(OR(AND(F30&lt;H30,OR(AND(OR($B30&lt;&gt;Ref!$A$7,$H$56&gt;0),OR($B30&lt;&gt;Ref!$A$8,$H$57&gt;0)),COUNT(SEARCH(Sonderarbeit,$N30))&gt;=1)),C30="Ausgleich"),H30-F30,"")</f>
        <v/>
      </c>
      <c r="K30" s="166" t="str">
        <f>IF(AND(B30=Ref!$A$8,SUM(I24:I30)&lt;SUM(J24:J30)),"-","")</f>
        <v/>
      </c>
      <c r="L30" s="167" t="str">
        <f>IF(B30=Ref!$A$8,ABS(SUM(I24:I30)-SUM(J24:J30)),"")</f>
        <v/>
      </c>
    </row>
    <row r="31" spans="1:14" ht="17.45" customHeight="1" x14ac:dyDescent="0.35">
      <c r="A31" s="168">
        <v>13</v>
      </c>
      <c r="B31" s="156" t="str">
        <f t="shared" si="1"/>
        <v>Mittwoch</v>
      </c>
      <c r="C31" s="157">
        <v>0.35416666666666669</v>
      </c>
      <c r="D31" s="157">
        <v>0.70833333333333337</v>
      </c>
      <c r="E31" s="157">
        <v>2.0833333333333332E-2</v>
      </c>
      <c r="F31" s="158">
        <f>IF(ISTEXT(C31),,D31-C31-E31)</f>
        <v>0.33333333333333337</v>
      </c>
      <c r="G31" s="159"/>
      <c r="H31" s="160">
        <f t="shared" si="2"/>
        <v>0.33333333333333331</v>
      </c>
      <c r="I31" s="161" t="str" cm="1">
        <f t="array" ref="I31">IF(AND(F31&gt;H31,OR(AND(OR($B31&lt;&gt;Ref!$A$7,$H$56&gt;0),OR($B31&lt;&gt;Ref!$A$8,$H$57&gt;0)),COUNT(SEARCH(Sonderarbeit,$N31))&gt;=1),ISNONTEXT(C31),C31&lt;&gt;""),F31-H31,"")</f>
        <v/>
      </c>
      <c r="J31" s="162" t="str" cm="1">
        <f t="array" ref="J31">IF(OR(AND(F31&lt;H31,OR(AND(OR($B31&lt;&gt;Ref!$A$7,$H$56&gt;0),OR($B31&lt;&gt;Ref!$A$8,$H$57&gt;0)),COUNT(SEARCH(Sonderarbeit,$N31))&gt;=1)),C31="Ausgleich"),H31-F31,"")</f>
        <v/>
      </c>
      <c r="K31" s="166" t="str">
        <f>IF(AND(B31=Ref!$A$8,SUM(I25:I31)&lt;SUM(J25:J31)),"-","")</f>
        <v/>
      </c>
      <c r="L31" s="167" t="str">
        <f>IF(B31=Ref!$A$8,ABS(SUM(I25:I31)-SUM(J25:J31)),"")</f>
        <v/>
      </c>
    </row>
    <row r="32" spans="1:14" ht="17.45" customHeight="1" x14ac:dyDescent="0.35">
      <c r="A32" s="168">
        <v>14</v>
      </c>
      <c r="B32" s="156" t="str">
        <f t="shared" si="1"/>
        <v>Donnerstag</v>
      </c>
      <c r="C32" s="157" t="s">
        <v>108</v>
      </c>
      <c r="D32" s="157">
        <v>0.70833333333333337</v>
      </c>
      <c r="E32" s="157">
        <v>2.0833333333333332E-2</v>
      </c>
      <c r="F32" s="158">
        <f>IF(ISTEXT(C32),,D32-C32-E32)</f>
        <v>0</v>
      </c>
      <c r="G32" s="159"/>
      <c r="H32" s="160">
        <f t="shared" si="2"/>
        <v>0</v>
      </c>
      <c r="I32" s="161" t="str" cm="1">
        <f t="array" ref="I32">IF(AND(F32&gt;H32,OR(AND(OR($B32&lt;&gt;Ref!$A$7,$H$56&gt;0),OR($B32&lt;&gt;Ref!$A$8,$H$57&gt;0)),COUNT(SEARCH(Sonderarbeit,$N32))&gt;=1),ISNONTEXT(C32),C32&lt;&gt;""),F32-H32,"")</f>
        <v/>
      </c>
      <c r="J32" s="162" t="str" cm="1">
        <f t="array" ref="J32">IF(OR(AND(F32&lt;H32,OR(AND(OR($B32&lt;&gt;Ref!$A$7,$H$56&gt;0),OR($B32&lt;&gt;Ref!$A$8,$H$57&gt;0)),COUNT(SEARCH(Sonderarbeit,$N32))&gt;=1)),C32="Ausgleich"),H32-F32,"")</f>
        <v/>
      </c>
      <c r="K32" s="166" t="str">
        <f>IF(AND(B32=Ref!$A$8,SUM(I26:I32)&lt;SUM(J26:J32)),"-","")</f>
        <v/>
      </c>
      <c r="L32" s="167" t="str">
        <f>IF(B32=Ref!$A$8,ABS(SUM(I26:I32)-SUM(J26:J32)),"")</f>
        <v/>
      </c>
    </row>
    <row r="33" spans="1:14" ht="17.45" customHeight="1" x14ac:dyDescent="0.35">
      <c r="A33" s="155">
        <v>15</v>
      </c>
      <c r="B33" s="156" t="str">
        <f t="shared" si="1"/>
        <v>Freitag</v>
      </c>
      <c r="C33" s="157">
        <v>0.35416666666666669</v>
      </c>
      <c r="D33" s="157">
        <v>0.70833333333333337</v>
      </c>
      <c r="E33" s="157">
        <v>2.0833333333333332E-2</v>
      </c>
      <c r="F33" s="158">
        <f>IF(ISTEXT(C33),,D33-C33-E33)</f>
        <v>0.33333333333333337</v>
      </c>
      <c r="G33" s="159"/>
      <c r="H33" s="160">
        <f t="shared" si="2"/>
        <v>0.3125</v>
      </c>
      <c r="I33" s="161" cm="1">
        <f t="array" ref="I33">IF(AND(F33&gt;H33,OR(AND(OR($B33&lt;&gt;Ref!$A$7,$H$56&gt;0),OR($B33&lt;&gt;Ref!$A$8,$H$57&gt;0)),COUNT(SEARCH(Sonderarbeit,$N33))&gt;=1),ISNONTEXT(C33),C33&lt;&gt;""),F33-H33,"")</f>
        <v>2.083333333333337E-2</v>
      </c>
      <c r="J33" s="162" t="str" cm="1">
        <f t="array" ref="J33">IF(OR(AND(F33&lt;H33,OR(AND(OR($B33&lt;&gt;Ref!$A$7,$H$56&gt;0),OR($B33&lt;&gt;Ref!$A$8,$H$57&gt;0)),COUNT(SEARCH(Sonderarbeit,$N33))&gt;=1)),C33="Ausgleich"),H33-F33,"")</f>
        <v/>
      </c>
      <c r="K33" s="166" t="str">
        <f>IF(AND(B33=Ref!$A$8,SUM(I27:I33)&lt;SUM(J27:J33)),"-","")</f>
        <v/>
      </c>
      <c r="L33" s="167" t="str">
        <f>IF(B33=Ref!$A$8,ABS(SUM(I27:I33)-SUM(J27:J33)),"")</f>
        <v/>
      </c>
      <c r="N33" s="100" t="s">
        <v>113</v>
      </c>
    </row>
    <row r="34" spans="1:14" ht="17.45" customHeight="1" x14ac:dyDescent="0.35">
      <c r="A34" s="155">
        <v>16</v>
      </c>
      <c r="B34" s="156" t="str">
        <f t="shared" si="1"/>
        <v>Samstag</v>
      </c>
      <c r="C34" s="157">
        <v>0.35416666666666669</v>
      </c>
      <c r="D34" s="157">
        <v>0.70833333333333337</v>
      </c>
      <c r="E34" s="157">
        <v>2.0833333333333332E-2</v>
      </c>
      <c r="F34" s="158">
        <f>IF(ISTEXT(C34),,D34-C34-E34)</f>
        <v>0.33333333333333337</v>
      </c>
      <c r="G34" s="159"/>
      <c r="H34" s="160">
        <f t="shared" si="2"/>
        <v>0</v>
      </c>
      <c r="I34" s="161" t="str" cm="1">
        <f t="array" ref="I34">IF(AND(F34&gt;H34,OR(AND(OR($B34&lt;&gt;Ref!$A$7,$H$56&gt;0),OR($B34&lt;&gt;Ref!$A$8,$H$57&gt;0)),COUNT(SEARCH(Sonderarbeit,$N34))&gt;=1),ISNONTEXT(C34),C34&lt;&gt;""),F34-H34,"")</f>
        <v/>
      </c>
      <c r="J34" s="162" t="str" cm="1">
        <f t="array" ref="J34">IF(OR(AND(F34&lt;H34,OR(AND(OR($B34&lt;&gt;Ref!$A$7,$H$56&gt;0),OR($B34&lt;&gt;Ref!$A$8,$H$57&gt;0)),COUNT(SEARCH(Sonderarbeit,$N34))&gt;=1)),C34="Ausgleich"),H34-F34,"")</f>
        <v/>
      </c>
      <c r="K34" s="166" t="str">
        <f>IF(AND(B34=Ref!$A$8,SUM(I28:I34)&lt;SUM(J28:J34)),"-","")</f>
        <v/>
      </c>
      <c r="L34" s="167" t="str">
        <f>IF(B34=Ref!$A$8,ABS(SUM(I28:I34)-SUM(J28:J34)),"")</f>
        <v/>
      </c>
    </row>
    <row r="35" spans="1:14" ht="17.45" customHeight="1" x14ac:dyDescent="0.35">
      <c r="A35" s="155">
        <v>17</v>
      </c>
      <c r="B35" s="156" t="str">
        <f t="shared" si="1"/>
        <v>Sonntag</v>
      </c>
      <c r="C35" s="157">
        <v>0.35416666666666669</v>
      </c>
      <c r="D35" s="157">
        <v>0.70833333333333337</v>
      </c>
      <c r="E35" s="157">
        <v>2.0833333333333332E-2</v>
      </c>
      <c r="F35" s="158">
        <f>IF(ISTEXT(C35),,D35-C35-E35)</f>
        <v>0.33333333333333337</v>
      </c>
      <c r="G35" s="159"/>
      <c r="H35" s="160">
        <f t="shared" si="2"/>
        <v>0</v>
      </c>
      <c r="I35" s="161" t="str" cm="1">
        <f t="array" ref="I35">IF(AND(F35&gt;H35,OR(AND(OR($B35&lt;&gt;Ref!$A$7,$H$56&gt;0),OR($B35&lt;&gt;Ref!$A$8,$H$57&gt;0)),COUNT(SEARCH(Sonderarbeit,$N35))&gt;=1),ISNONTEXT(C35),C35&lt;&gt;""),F35-H35,"")</f>
        <v/>
      </c>
      <c r="J35" s="162" t="str" cm="1">
        <f t="array" ref="J35">IF(OR(AND(F35&lt;H35,OR(AND(OR($B35&lt;&gt;Ref!$A$7,$H$56&gt;0),OR($B35&lt;&gt;Ref!$A$8,$H$57&gt;0)),COUNT(SEARCH(Sonderarbeit,$N35))&gt;=1)),C35="Ausgleich"),H35-F35,"")</f>
        <v/>
      </c>
      <c r="K35" s="166" t="str">
        <f>IF(AND(B35=Ref!$A$8,SUM(I29:I35)&lt;SUM(J29:J35)),"-","")</f>
        <v/>
      </c>
      <c r="L35" s="167">
        <f>IF(B35=Ref!$A$8,ABS(SUM(I29:I35)-SUM(J29:J35)),"")</f>
        <v>2.083333333333337E-2</v>
      </c>
    </row>
    <row r="36" spans="1:14" ht="17.45" customHeight="1" x14ac:dyDescent="0.35">
      <c r="A36" s="155">
        <v>18</v>
      </c>
      <c r="B36" s="156" t="str">
        <f t="shared" si="1"/>
        <v>Montag</v>
      </c>
      <c r="C36" s="157">
        <v>0.35416666666666669</v>
      </c>
      <c r="D36" s="157">
        <v>0.70833333333333337</v>
      </c>
      <c r="E36" s="157">
        <v>2.0833333333333332E-2</v>
      </c>
      <c r="F36" s="158">
        <f>IF(ISTEXT(C36),,D36-C36-E36)</f>
        <v>0.33333333333333337</v>
      </c>
      <c r="G36" s="159"/>
      <c r="H36" s="160">
        <f t="shared" si="2"/>
        <v>0.33333333333333331</v>
      </c>
      <c r="I36" s="161" t="str" cm="1">
        <f t="array" ref="I36">IF(AND(F36&gt;H36,OR(AND(OR($B36&lt;&gt;Ref!$A$7,$H$56&gt;0),OR($B36&lt;&gt;Ref!$A$8,$H$57&gt;0)),COUNT(SEARCH(Sonderarbeit,$N36))&gt;=1),ISNONTEXT(C36),C36&lt;&gt;""),F36-H36,"")</f>
        <v/>
      </c>
      <c r="J36" s="162" t="str" cm="1">
        <f t="array" ref="J36">IF(OR(AND(F36&lt;H36,OR(AND(OR($B36&lt;&gt;Ref!$A$7,$H$56&gt;0),OR($B36&lt;&gt;Ref!$A$8,$H$57&gt;0)),COUNT(SEARCH(Sonderarbeit,$N36))&gt;=1)),C36="Ausgleich"),H36-F36,"")</f>
        <v/>
      </c>
      <c r="K36" s="166" t="str">
        <f>IF(AND(B36=Ref!$A$8,SUM(I30:I36)&lt;SUM(J30:J36)),"-","")</f>
        <v/>
      </c>
      <c r="L36" s="167" t="str">
        <f>IF(B36=Ref!$A$8,ABS(SUM(I30:I36)-SUM(J30:J36)),"")</f>
        <v/>
      </c>
    </row>
    <row r="37" spans="1:14" ht="17.45" customHeight="1" x14ac:dyDescent="0.35">
      <c r="A37" s="155">
        <v>19</v>
      </c>
      <c r="B37" s="156" t="str">
        <f t="shared" si="1"/>
        <v>Dienstag</v>
      </c>
      <c r="C37" s="157">
        <v>0.35416666666666669</v>
      </c>
      <c r="D37" s="157">
        <v>0.70833333333333337</v>
      </c>
      <c r="E37" s="157">
        <v>2.0833333333333332E-2</v>
      </c>
      <c r="F37" s="158">
        <f>IF(ISTEXT(C37),,D37-C37-E37)</f>
        <v>0.33333333333333337</v>
      </c>
      <c r="G37" s="159"/>
      <c r="H37" s="160">
        <f t="shared" si="2"/>
        <v>0.33333333333333331</v>
      </c>
      <c r="I37" s="161" t="str" cm="1">
        <f t="array" ref="I37">IF(AND(F37&gt;H37,OR(AND(OR($B37&lt;&gt;Ref!$A$7,$H$56&gt;0),OR($B37&lt;&gt;Ref!$A$8,$H$57&gt;0)),COUNT(SEARCH(Sonderarbeit,$N37))&gt;=1),ISNONTEXT(C37),C37&lt;&gt;""),F37-H37,"")</f>
        <v/>
      </c>
      <c r="J37" s="162" t="str" cm="1">
        <f t="array" ref="J37">IF(OR(AND(F37&lt;H37,OR(AND(OR($B37&lt;&gt;Ref!$A$7,$H$56&gt;0),OR($B37&lt;&gt;Ref!$A$8,$H$57&gt;0)),COUNT(SEARCH(Sonderarbeit,$N37))&gt;=1)),C37="Ausgleich"),H37-F37,"")</f>
        <v/>
      </c>
      <c r="K37" s="166" t="str">
        <f>IF(AND(B37=Ref!$A$8,SUM(I31:I37)&lt;SUM(J31:J37)),"-","")</f>
        <v/>
      </c>
      <c r="L37" s="167" t="str">
        <f>IF(B37=Ref!$A$8,ABS(SUM(I31:I37)-SUM(J31:J37)),"")</f>
        <v/>
      </c>
    </row>
    <row r="38" spans="1:14" ht="17.45" customHeight="1" x14ac:dyDescent="0.35">
      <c r="A38" s="155">
        <v>20</v>
      </c>
      <c r="B38" s="156" t="str">
        <f t="shared" si="1"/>
        <v>Mittwoch</v>
      </c>
      <c r="C38" s="157">
        <v>0.35416666666666669</v>
      </c>
      <c r="D38" s="157">
        <v>0.70833333333333337</v>
      </c>
      <c r="E38" s="157">
        <v>2.0833333333333332E-2</v>
      </c>
      <c r="F38" s="158">
        <f>IF(ISTEXT(C38),,D38-C38-E38)</f>
        <v>0.33333333333333337</v>
      </c>
      <c r="G38" s="159"/>
      <c r="H38" s="160">
        <f t="shared" si="2"/>
        <v>0.33333333333333331</v>
      </c>
      <c r="I38" s="161" t="str" cm="1">
        <f t="array" ref="I38">IF(AND(F38&gt;H38,OR(AND(OR($B38&lt;&gt;Ref!$A$7,$H$56&gt;0),OR($B38&lt;&gt;Ref!$A$8,$H$57&gt;0)),COUNT(SEARCH(Sonderarbeit,$N38))&gt;=1),ISNONTEXT(C38),C38&lt;&gt;""),F38-H38,"")</f>
        <v/>
      </c>
      <c r="J38" s="162" t="str" cm="1">
        <f t="array" ref="J38">IF(OR(AND(F38&lt;H38,OR(AND(OR($B38&lt;&gt;Ref!$A$7,$H$56&gt;0),OR($B38&lt;&gt;Ref!$A$8,$H$57&gt;0)),COUNT(SEARCH(Sonderarbeit,$N38))&gt;=1)),C38="Ausgleich"),H38-F38,"")</f>
        <v/>
      </c>
      <c r="K38" s="166" t="str">
        <f>IF(AND(B38=Ref!$A$8,SUM(I32:I38)&lt;SUM(J32:J38)),"-","")</f>
        <v/>
      </c>
      <c r="L38" s="167" t="str">
        <f>IF(B38=Ref!$A$8,ABS(SUM(I32:I38)-SUM(J32:J38)),"")</f>
        <v/>
      </c>
    </row>
    <row r="39" spans="1:14" ht="17.45" customHeight="1" x14ac:dyDescent="0.35">
      <c r="A39" s="155">
        <v>21</v>
      </c>
      <c r="B39" s="156" t="str">
        <f t="shared" si="1"/>
        <v>Donnerstag</v>
      </c>
      <c r="C39" s="157">
        <v>0.35416666666666669</v>
      </c>
      <c r="D39" s="157">
        <v>0.70833333333333337</v>
      </c>
      <c r="E39" s="157">
        <v>2.0833333333333332E-2</v>
      </c>
      <c r="F39" s="158">
        <f>IF(ISTEXT(C39),,D39-C39-E39)</f>
        <v>0.33333333333333337</v>
      </c>
      <c r="G39" s="159"/>
      <c r="H39" s="160">
        <f t="shared" si="2"/>
        <v>0.33333333333333331</v>
      </c>
      <c r="I39" s="161" t="str" cm="1">
        <f t="array" ref="I39">IF(AND(F39&gt;H39,OR(AND(OR($B39&lt;&gt;Ref!$A$7,$H$56&gt;0),OR($B39&lt;&gt;Ref!$A$8,$H$57&gt;0)),COUNT(SEARCH(Sonderarbeit,$N39))&gt;=1),ISNONTEXT(C39),C39&lt;&gt;""),F39-H39,"")</f>
        <v/>
      </c>
      <c r="J39" s="162" t="str" cm="1">
        <f t="array" ref="J39">IF(OR(AND(F39&lt;H39,OR(AND(OR($B39&lt;&gt;Ref!$A$7,$H$56&gt;0),OR($B39&lt;&gt;Ref!$A$8,$H$57&gt;0)),COUNT(SEARCH(Sonderarbeit,$N39))&gt;=1)),C39="Ausgleich"),H39-F39,"")</f>
        <v/>
      </c>
      <c r="K39" s="166" t="str">
        <f>IF(AND(B39=Ref!$A$8,SUM(I33:I39)&lt;SUM(J33:J39)),"-","")</f>
        <v/>
      </c>
      <c r="L39" s="167" t="str">
        <f>IF(B39=Ref!$A$8,ABS(SUM(I33:I39)-SUM(J33:J39)),"")</f>
        <v/>
      </c>
    </row>
    <row r="40" spans="1:14" ht="17.45" customHeight="1" x14ac:dyDescent="0.35">
      <c r="A40" s="155">
        <v>22</v>
      </c>
      <c r="B40" s="156" t="str">
        <f t="shared" si="1"/>
        <v>Freitag</v>
      </c>
      <c r="C40" s="157">
        <v>0.35416666666666669</v>
      </c>
      <c r="D40" s="157">
        <v>0.70833333333333337</v>
      </c>
      <c r="E40" s="157">
        <v>2.0833333333333332E-2</v>
      </c>
      <c r="F40" s="158">
        <f>IF(ISTEXT(C40),,D40-C40-E40)</f>
        <v>0.33333333333333337</v>
      </c>
      <c r="G40" s="159"/>
      <c r="H40" s="160">
        <f t="shared" si="2"/>
        <v>0.3125</v>
      </c>
      <c r="I40" s="161" cm="1">
        <f t="array" ref="I40">IF(AND(F40&gt;H40,OR(AND(OR($B40&lt;&gt;Ref!$A$7,$H$56&gt;0),OR($B40&lt;&gt;Ref!$A$8,$H$57&gt;0)),COUNT(SEARCH(Sonderarbeit,$N40))&gt;=1),ISNONTEXT(C40),C40&lt;&gt;""),F40-H40,"")</f>
        <v>2.083333333333337E-2</v>
      </c>
      <c r="J40" s="162" t="str" cm="1">
        <f t="array" ref="J40">IF(OR(AND(F40&lt;H40,OR(AND(OR($B40&lt;&gt;Ref!$A$7,$H$56&gt;0),OR($B40&lt;&gt;Ref!$A$8,$H$57&gt;0)),COUNT(SEARCH(Sonderarbeit,$N40))&gt;=1)),C40="Ausgleich"),H40-F40,"")</f>
        <v/>
      </c>
      <c r="K40" s="166" t="str">
        <f>IF(AND(B40=Ref!$A$8,SUM(I34:I40)&lt;SUM(J34:J40)),"-","")</f>
        <v/>
      </c>
      <c r="L40" s="167" t="str">
        <f>IF(B40=Ref!$A$8,ABS(SUM(I34:I40)-SUM(J34:J40)),"")</f>
        <v/>
      </c>
    </row>
    <row r="41" spans="1:14" ht="17.45" customHeight="1" x14ac:dyDescent="0.35">
      <c r="A41" s="155">
        <v>23</v>
      </c>
      <c r="B41" s="156" t="str">
        <f t="shared" si="1"/>
        <v>Samstag</v>
      </c>
      <c r="C41" s="157">
        <v>0.35416666666666669</v>
      </c>
      <c r="D41" s="157">
        <v>0.70833333333333337</v>
      </c>
      <c r="E41" s="157">
        <v>2.0833333333333332E-2</v>
      </c>
      <c r="F41" s="158">
        <f>IF(ISTEXT(C41),,D41-C41-E41)</f>
        <v>0.33333333333333337</v>
      </c>
      <c r="G41" s="159"/>
      <c r="H41" s="160">
        <f t="shared" si="2"/>
        <v>0</v>
      </c>
      <c r="I41" s="161" t="str" cm="1">
        <f t="array" ref="I41">IF(AND(F41&gt;H41,OR(AND(OR($B41&lt;&gt;Ref!$A$7,$H$56&gt;0),OR($B41&lt;&gt;Ref!$A$8,$H$57&gt;0)),COUNT(SEARCH(Sonderarbeit,$N41))&gt;=1),ISNONTEXT(C41),C41&lt;&gt;""),F41-H41,"")</f>
        <v/>
      </c>
      <c r="J41" s="162" t="str" cm="1">
        <f t="array" ref="J41">IF(OR(AND(F41&lt;H41,OR(AND(OR($B41&lt;&gt;Ref!$A$7,$H$56&gt;0),OR($B41&lt;&gt;Ref!$A$8,$H$57&gt;0)),COUNT(SEARCH(Sonderarbeit,$N41))&gt;=1)),C41="Ausgleich"),H41-F41,"")</f>
        <v/>
      </c>
      <c r="K41" s="166" t="str">
        <f>IF(AND(B41=Ref!$A$8,SUM(I35:I41)&lt;SUM(J35:J41)),"-","")</f>
        <v/>
      </c>
      <c r="L41" s="167" t="str">
        <f>IF(B41=Ref!$A$8,ABS(SUM(I35:I41)-SUM(J35:J41)),"")</f>
        <v/>
      </c>
    </row>
    <row r="42" spans="1:14" ht="17.45" customHeight="1" x14ac:dyDescent="0.35">
      <c r="A42" s="155">
        <v>24</v>
      </c>
      <c r="B42" s="156" t="str">
        <f t="shared" si="1"/>
        <v>Sonntag</v>
      </c>
      <c r="C42" s="157" t="s">
        <v>121</v>
      </c>
      <c r="D42" s="157">
        <v>0.70833333333333337</v>
      </c>
      <c r="E42" s="157">
        <v>2.0833333333333332E-2</v>
      </c>
      <c r="F42" s="158">
        <f>IF(ISTEXT(C42),,D42-C42-E42)</f>
        <v>0</v>
      </c>
      <c r="G42" s="159"/>
      <c r="H42" s="160">
        <f t="shared" si="2"/>
        <v>0</v>
      </c>
      <c r="I42" s="161" t="str" cm="1">
        <f t="array" ref="I42">IF(AND(F42&gt;H42,OR(AND(OR($B42&lt;&gt;Ref!$A$7,$H$56&gt;0),OR($B42&lt;&gt;Ref!$A$8,$H$57&gt;0)),COUNT(SEARCH(Sonderarbeit,$N42))&gt;=1),ISNONTEXT(C42),C42&lt;&gt;""),F42-H42,"")</f>
        <v/>
      </c>
      <c r="J42" s="162" t="str" cm="1">
        <f t="array" ref="J42">IF(OR(AND(F42&lt;H42,OR(AND(OR($B42&lt;&gt;Ref!$A$7,$H$56&gt;0),OR($B42&lt;&gt;Ref!$A$8,$H$57&gt;0)),COUNT(SEARCH(Sonderarbeit,$N42))&gt;=1)),C42="Ausgleich"),H42-F42,"")</f>
        <v/>
      </c>
      <c r="K42" s="166" t="str">
        <f>IF(AND(B42=Ref!$A$8,SUM(I36:I42)&lt;SUM(J36:J42)),"-","")</f>
        <v/>
      </c>
      <c r="L42" s="167">
        <f>IF(B42=Ref!$A$8,ABS(SUM(I36:I42)-SUM(J36:J42)),"")</f>
        <v>2.083333333333337E-2</v>
      </c>
    </row>
    <row r="43" spans="1:14" ht="17.45" customHeight="1" x14ac:dyDescent="0.35">
      <c r="A43" s="155">
        <v>25</v>
      </c>
      <c r="B43" s="156" t="str">
        <f t="shared" si="1"/>
        <v>Montag</v>
      </c>
      <c r="C43" s="157" t="s">
        <v>85</v>
      </c>
      <c r="D43" s="157">
        <v>0.70833333333333337</v>
      </c>
      <c r="E43" s="157">
        <v>2.0833333333333332E-2</v>
      </c>
      <c r="F43" s="158">
        <f>IF(ISTEXT(C43),,D43-C43-E43)</f>
        <v>0</v>
      </c>
      <c r="G43" s="159"/>
      <c r="H43" s="160">
        <f t="shared" si="2"/>
        <v>0</v>
      </c>
      <c r="I43" s="161" t="str" cm="1">
        <f t="array" ref="I43">IF(AND(F43&gt;H43,OR(AND(OR($B43&lt;&gt;Ref!$A$7,$H$56&gt;0),OR($B43&lt;&gt;Ref!$A$8,$H$57&gt;0)),COUNT(SEARCH(Sonderarbeit,$N43))&gt;=1),ISNONTEXT(C43),C43&lt;&gt;""),F43-H43,"")</f>
        <v/>
      </c>
      <c r="J43" s="162" t="str" cm="1">
        <f t="array" ref="J43">IF(OR(AND(F43&lt;H43,OR(AND(OR($B43&lt;&gt;Ref!$A$7,$H$56&gt;0),OR($B43&lt;&gt;Ref!$A$8,$H$57&gt;0)),COUNT(SEARCH(Sonderarbeit,$N43))&gt;=1)),C43="Ausgleich"),H43-F43,"")</f>
        <v/>
      </c>
      <c r="K43" s="166" t="str">
        <f>IF(AND(B43=Ref!$A$8,SUM(I37:I43)&lt;SUM(J37:J43)),"-","")</f>
        <v/>
      </c>
      <c r="L43" s="167" t="str">
        <f>IF(B43=Ref!$A$8,ABS(SUM(I37:I43)-SUM(J37:J43)),"")</f>
        <v/>
      </c>
    </row>
    <row r="44" spans="1:14" ht="17.45" customHeight="1" x14ac:dyDescent="0.35">
      <c r="A44" s="155">
        <v>26</v>
      </c>
      <c r="B44" s="156" t="str">
        <f t="shared" si="1"/>
        <v>Dienstag</v>
      </c>
      <c r="C44" s="157">
        <v>0.35416666666666669</v>
      </c>
      <c r="D44" s="157">
        <v>0.70833333333333337</v>
      </c>
      <c r="E44" s="157">
        <v>2.0833333333333332E-2</v>
      </c>
      <c r="F44" s="158">
        <f>IF(ISTEXT(C44),,D44-C44-E44)</f>
        <v>0.33333333333333337</v>
      </c>
      <c r="G44" s="159"/>
      <c r="H44" s="160">
        <f t="shared" si="2"/>
        <v>0.33333333333333331</v>
      </c>
      <c r="I44" s="161" t="str" cm="1">
        <f t="array" ref="I44">IF(AND(F44&gt;H44,OR(AND(OR($B44&lt;&gt;Ref!$A$7,$H$56&gt;0),OR($B44&lt;&gt;Ref!$A$8,$H$57&gt;0)),COUNT(SEARCH(Sonderarbeit,$N44))&gt;=1),ISNONTEXT(C44),C44&lt;&gt;""),F44-H44,"")</f>
        <v/>
      </c>
      <c r="J44" s="162" t="str" cm="1">
        <f t="array" ref="J44">IF(OR(AND(F44&lt;H44,OR(AND(OR($B44&lt;&gt;Ref!$A$7,$H$56&gt;0),OR($B44&lt;&gt;Ref!$A$8,$H$57&gt;0)),COUNT(SEARCH(Sonderarbeit,$N44))&gt;=1)),C44="Ausgleich"),H44-F44,"")</f>
        <v/>
      </c>
      <c r="K44" s="166" t="str">
        <f>IF(AND(B44=Ref!$A$8,SUM(I38:I44)&lt;SUM(J38:J44)),"-","")</f>
        <v/>
      </c>
      <c r="L44" s="167" t="str">
        <f>IF(B44=Ref!$A$8,ABS(SUM(I38:I44)-SUM(J38:J44)),"")</f>
        <v/>
      </c>
      <c r="N44" s="100" t="s">
        <v>122</v>
      </c>
    </row>
    <row r="45" spans="1:14" ht="17.45" customHeight="1" x14ac:dyDescent="0.35">
      <c r="A45" s="155">
        <v>27</v>
      </c>
      <c r="B45" s="156" t="str">
        <f t="shared" si="1"/>
        <v>Mittwoch</v>
      </c>
      <c r="C45" s="157">
        <v>0.35416666666666669</v>
      </c>
      <c r="D45" s="157">
        <v>0.70833333333333337</v>
      </c>
      <c r="E45" s="157">
        <v>2.0833333333333332E-2</v>
      </c>
      <c r="F45" s="158">
        <f>IF(ISTEXT(C45),,D45-C45-E45)</f>
        <v>0.33333333333333337</v>
      </c>
      <c r="G45" s="159"/>
      <c r="H45" s="160">
        <f t="shared" si="2"/>
        <v>0.33333333333333331</v>
      </c>
      <c r="I45" s="161" t="str" cm="1">
        <f t="array" ref="I45">IF(AND(F45&gt;H45,OR(AND(OR($B45&lt;&gt;Ref!$A$7,$H$56&gt;0),OR($B45&lt;&gt;Ref!$A$8,$H$57&gt;0)),COUNT(SEARCH(Sonderarbeit,$N45))&gt;=1),ISNONTEXT(C45),C45&lt;&gt;""),F45-H45,"")</f>
        <v/>
      </c>
      <c r="J45" s="162" t="str" cm="1">
        <f t="array" ref="J45">IF(OR(AND(F45&lt;H45,OR(AND(OR($B45&lt;&gt;Ref!$A$7,$H$56&gt;0),OR($B45&lt;&gt;Ref!$A$8,$H$57&gt;0)),COUNT(SEARCH(Sonderarbeit,$N45))&gt;=1)),C45="Ausgleich"),H45-F45,"")</f>
        <v/>
      </c>
      <c r="K45" s="166" t="str">
        <f>IF(AND(B45=Ref!$A$8,SUM(I39:I45)&lt;SUM(J39:J45)),"-","")</f>
        <v/>
      </c>
      <c r="L45" s="167" t="str">
        <f>IF(B45=Ref!$A$8,ABS(SUM(I39:I45)-SUM(J39:J45)),"")</f>
        <v/>
      </c>
    </row>
    <row r="46" spans="1:14" ht="17.45" customHeight="1" x14ac:dyDescent="0.35">
      <c r="A46" s="155">
        <v>28</v>
      </c>
      <c r="B46" s="156" t="str">
        <f t="shared" si="1"/>
        <v>Donnerstag</v>
      </c>
      <c r="C46" s="157">
        <v>0.35416666666666669</v>
      </c>
      <c r="D46" s="157">
        <v>0.70833333333333337</v>
      </c>
      <c r="E46" s="157">
        <v>2.0833333333333332E-2</v>
      </c>
      <c r="F46" s="158">
        <f>IF(ISTEXT(C46),,D46-C46-E46)</f>
        <v>0.33333333333333337</v>
      </c>
      <c r="G46" s="159"/>
      <c r="H46" s="160">
        <f t="shared" si="2"/>
        <v>0.33333333333333331</v>
      </c>
      <c r="I46" s="161" t="str" cm="1">
        <f t="array" ref="I46">IF(AND(F46&gt;H46,OR(AND(OR($B46&lt;&gt;Ref!$A$7,$H$56&gt;0),OR($B46&lt;&gt;Ref!$A$8,$H$57&gt;0)),COUNT(SEARCH(Sonderarbeit,$N46))&gt;=1),ISNONTEXT(C46),C46&lt;&gt;""),F46-H46,"")</f>
        <v/>
      </c>
      <c r="J46" s="162" t="str" cm="1">
        <f t="array" ref="J46">IF(OR(AND(F46&lt;H46,OR(AND(OR($B46&lt;&gt;Ref!$A$7,$H$56&gt;0),OR($B46&lt;&gt;Ref!$A$8,$H$57&gt;0)),COUNT(SEARCH(Sonderarbeit,$N46))&gt;=1)),C46="Ausgleich"),H46-F46,"")</f>
        <v/>
      </c>
      <c r="K46" s="166" t="str">
        <f>IF(AND(B46=Ref!$A$8,SUM(I40:I46)&lt;SUM(J40:J46)),"-","")</f>
        <v/>
      </c>
      <c r="L46" s="167" t="str">
        <f>IF(B46=Ref!$A$8,ABS(SUM(I40:I46)-SUM(J40:J46)),"")</f>
        <v/>
      </c>
    </row>
    <row r="47" spans="1:14" ht="17.45" customHeight="1" x14ac:dyDescent="0.35">
      <c r="A47" s="155">
        <v>29</v>
      </c>
      <c r="B47" s="156" t="str">
        <f t="shared" si="1"/>
        <v>Freitag</v>
      </c>
      <c r="C47" s="157">
        <v>0.35416666666666669</v>
      </c>
      <c r="D47" s="157">
        <v>0.70833333333333337</v>
      </c>
      <c r="E47" s="157">
        <v>2.0833333333333332E-2</v>
      </c>
      <c r="F47" s="158">
        <f>IF(ISTEXT(C47),,D47-C47-E47)</f>
        <v>0.33333333333333337</v>
      </c>
      <c r="G47" s="159"/>
      <c r="H47" s="160">
        <f t="shared" si="2"/>
        <v>0.3125</v>
      </c>
      <c r="I47" s="161" cm="1">
        <f t="array" ref="I47">IF(AND(F47&gt;H47,OR(AND(OR($B47&lt;&gt;Ref!$A$7,$H$56&gt;0),OR($B47&lt;&gt;Ref!$A$8,$H$57&gt;0)),COUNT(SEARCH(Sonderarbeit,$N47))&gt;=1),ISNONTEXT(C47),C47&lt;&gt;""),F47-H47,"")</f>
        <v>2.083333333333337E-2</v>
      </c>
      <c r="J47" s="162" t="str" cm="1">
        <f t="array" ref="J47">IF(OR(AND(F47&lt;H47,OR(AND(OR($B47&lt;&gt;Ref!$A$7,$H$56&gt;0),OR($B47&lt;&gt;Ref!$A$8,$H$57&gt;0)),COUNT(SEARCH(Sonderarbeit,$N47))&gt;=1)),C47="Ausgleich"),H47-F47,"")</f>
        <v/>
      </c>
      <c r="K47" s="166" t="str">
        <f>IF(AND(B47=Ref!$A$8,SUM(I41:I47)&lt;SUM(J41:J47)),"-","")</f>
        <v/>
      </c>
      <c r="L47" s="167" t="str">
        <f>IF(B47=Ref!$A$8,ABS(SUM(I41:I47)-SUM(J41:J47)),"")</f>
        <v/>
      </c>
    </row>
    <row r="48" spans="1:14" ht="17.45" customHeight="1" x14ac:dyDescent="0.35">
      <c r="A48" s="155">
        <v>30</v>
      </c>
      <c r="B48" s="156" t="str">
        <f t="shared" si="1"/>
        <v>Samstag</v>
      </c>
      <c r="C48" s="157">
        <v>0.35416666666666669</v>
      </c>
      <c r="D48" s="157">
        <v>0.70833333333333337</v>
      </c>
      <c r="E48" s="157">
        <v>2.0833333333333332E-2</v>
      </c>
      <c r="F48" s="158">
        <f>IF(ISTEXT(C48),,D48-C48-E48)</f>
        <v>0.33333333333333337</v>
      </c>
      <c r="G48" s="159"/>
      <c r="H48" s="160">
        <f t="shared" si="2"/>
        <v>0</v>
      </c>
      <c r="I48" s="161" t="str" cm="1">
        <f t="array" ref="I48">IF(AND(F48&gt;H48,OR(AND(OR($B48&lt;&gt;Ref!$A$7,$H$56&gt;0),OR($B48&lt;&gt;Ref!$A$8,$H$57&gt;0)),COUNT(SEARCH(Sonderarbeit,$N48))&gt;=1),ISNONTEXT(C48),C48&lt;&gt;""),F48-H48,"")</f>
        <v/>
      </c>
      <c r="J48" s="162" t="str" cm="1">
        <f t="array" ref="J48">IF(OR(AND(F48&lt;H48,OR(AND(OR($B48&lt;&gt;Ref!$A$7,$H$56&gt;0),OR($B48&lt;&gt;Ref!$A$8,$H$57&gt;0)),COUNT(SEARCH(Sonderarbeit,$N48))&gt;=1)),C48="Ausgleich"),H48-F48,"")</f>
        <v/>
      </c>
      <c r="K48" s="166" t="str">
        <f>IF(AND(B48=Ref!$A$8,SUM(I42:I48)&lt;SUM(J42:J48)),"-","")</f>
        <v/>
      </c>
      <c r="L48" s="167" t="str">
        <f>IF(B48=Ref!$A$8,ABS(SUM(I42:I48)-SUM(J42:J48)),"")</f>
        <v/>
      </c>
    </row>
    <row r="49" spans="1:14" ht="17.45" customHeight="1" x14ac:dyDescent="0.35">
      <c r="A49" s="155">
        <v>31</v>
      </c>
      <c r="B49" s="156" t="str">
        <f t="shared" si="1"/>
        <v>Sonntag</v>
      </c>
      <c r="C49" s="157">
        <v>0.35416666666666669</v>
      </c>
      <c r="D49" s="157">
        <v>0.70833333333333337</v>
      </c>
      <c r="E49" s="157">
        <v>2.0833333333333332E-2</v>
      </c>
      <c r="F49" s="170">
        <f>IF(ISTEXT(C49),,D49-C49-E49)</f>
        <v>0.33333333333333337</v>
      </c>
      <c r="G49" s="171"/>
      <c r="H49" s="160">
        <f t="shared" si="2"/>
        <v>0</v>
      </c>
      <c r="I49" s="161" t="str" cm="1">
        <f t="array" ref="I49">IF(AND(F49&gt;H49,OR(AND(OR($B49&lt;&gt;Ref!$A$7,$H$56&gt;0),OR($B49&lt;&gt;Ref!$A$8,$H$57&gt;0)),COUNT(SEARCH(Sonderarbeit,$N49))&gt;=1),ISNONTEXT(C49),C49&lt;&gt;""),F49-H49,"")</f>
        <v/>
      </c>
      <c r="J49" s="162" t="str" cm="1">
        <f t="array" ref="J49">IF(OR(AND(F49&lt;H49,OR(AND(OR($B49&lt;&gt;Ref!$A$7,$H$56&gt;0),OR($B49&lt;&gt;Ref!$A$8,$H$57&gt;0)),COUNT(SEARCH(Sonderarbeit,$N49))&gt;=1)),C49="Ausgleich"),H49-F49,"")</f>
        <v/>
      </c>
      <c r="K49" s="172" t="str">
        <f ca="1">IF(SUM(INDIRECT("I"&amp;ROW()-WEEKDAY(DATE(J$11,MONTH(I$11),A49),3)):I49) &lt; SUM(INDIRECT("j"&amp;ROW()-WEEKDAY(DATE(J$11,MONTH(I$11),A49),3)):J49),"-","")</f>
        <v/>
      </c>
      <c r="L49" s="173">
        <f ca="1">ABS(SUM(INDIRECT("I"&amp;ROW()-WEEKDAY(DATE(J$11,MONTH(I$11),A49),3)):I49)-SUM(INDIRECT("j"&amp;ROW()-WEEKDAY(DATE(J$11,MONTH(I$11),A49))):J49))</f>
        <v>2.083333333333337E-2</v>
      </c>
      <c r="N49" s="174"/>
    </row>
    <row r="50" spans="1:14" s="183" customFormat="1" ht="17.45" customHeight="1" thickBot="1" x14ac:dyDescent="0.4">
      <c r="A50" s="175" t="str">
        <f>Jan!A50</f>
        <v>Sonstige Zeiten laut beigefügter Aufstellung (s. Anlage):</v>
      </c>
      <c r="B50" s="176"/>
      <c r="C50" s="177"/>
      <c r="D50" s="178"/>
      <c r="E50" s="178"/>
      <c r="F50" s="178"/>
      <c r="G50" s="178"/>
      <c r="H50" s="179"/>
      <c r="I50" s="180">
        <v>0</v>
      </c>
      <c r="J50" s="180">
        <v>0</v>
      </c>
      <c r="K50" s="181"/>
      <c r="L50" s="182"/>
      <c r="M50" s="99"/>
      <c r="N50" s="100"/>
    </row>
    <row r="51" spans="1:14" x14ac:dyDescent="0.2">
      <c r="A51" s="184" t="s">
        <v>3</v>
      </c>
      <c r="B51" s="184"/>
      <c r="C51" s="184"/>
      <c r="D51" s="184"/>
      <c r="H51" s="280">
        <f>Apr!H50</f>
        <v>0.33333333333333331</v>
      </c>
      <c r="I51" s="185">
        <f>SUM(I17:I50)</f>
        <v>0.75000000000000078</v>
      </c>
      <c r="J51" s="186">
        <f>SUM(J17:J50)</f>
        <v>0</v>
      </c>
      <c r="K51" s="187" t="str">
        <f ca="1">IF(SUMIF(K19:K49,"",L19:L49)&lt;SUMIF(K19:K49,"-",L19:L49),"-","")</f>
        <v/>
      </c>
      <c r="L51" s="188">
        <f ca="1">ABS(SUMIF(K19:K49,"",L19:L49)-SUMIF(K19:K49,"-",L19:L49))</f>
        <v>8.3333333333333481E-2</v>
      </c>
    </row>
    <row r="52" spans="1:14" ht="13.5" thickBot="1" x14ac:dyDescent="0.25">
      <c r="A52" s="189"/>
      <c r="B52" s="189"/>
      <c r="C52" s="189"/>
      <c r="D52" s="189"/>
      <c r="G52" s="190" t="s">
        <v>12</v>
      </c>
      <c r="H52" s="281">
        <f>Apr!H51</f>
        <v>0.33333333333333331</v>
      </c>
      <c r="I52" s="191"/>
      <c r="J52" s="192"/>
      <c r="K52" s="193"/>
      <c r="L52" s="194"/>
    </row>
    <row r="53" spans="1:14" x14ac:dyDescent="0.2">
      <c r="A53" s="189"/>
      <c r="B53" s="189"/>
      <c r="C53" s="189"/>
      <c r="D53" s="189"/>
      <c r="G53" s="195"/>
      <c r="H53" s="281">
        <f>Apr!H52</f>
        <v>0.33333333333333331</v>
      </c>
      <c r="I53" s="196">
        <f>IF(I51&gt;J51,I51-J51,0)</f>
        <v>0.75000000000000078</v>
      </c>
      <c r="J53" s="197" t="str">
        <f>IF(J51&gt;I51,J51-I51,"")</f>
        <v/>
      </c>
      <c r="K53" s="198"/>
      <c r="L53" s="198"/>
    </row>
    <row r="54" spans="1:14" ht="13.5" thickBot="1" x14ac:dyDescent="0.25">
      <c r="A54" s="199" t="s">
        <v>15</v>
      </c>
      <c r="B54" s="199"/>
      <c r="C54" s="199"/>
      <c r="D54" s="199"/>
      <c r="E54" s="200"/>
      <c r="F54" s="200"/>
      <c r="G54" s="190" t="s">
        <v>13</v>
      </c>
      <c r="H54" s="281">
        <f>Apr!H53</f>
        <v>0.33333333333333331</v>
      </c>
      <c r="I54" s="201"/>
      <c r="J54" s="202"/>
      <c r="K54" s="198"/>
      <c r="L54" s="198"/>
    </row>
    <row r="55" spans="1:14" ht="13.5" thickBot="1" x14ac:dyDescent="0.25">
      <c r="A55" s="203" t="s">
        <v>4</v>
      </c>
      <c r="B55" s="203"/>
      <c r="C55" s="203"/>
      <c r="D55" s="203"/>
      <c r="E55" s="200"/>
      <c r="F55" s="200"/>
      <c r="G55" s="200"/>
      <c r="H55" s="281">
        <f>Apr!H54</f>
        <v>0.3125</v>
      </c>
      <c r="I55" s="200"/>
      <c r="J55" s="200"/>
      <c r="K55" s="204"/>
      <c r="L55" s="204"/>
    </row>
    <row r="56" spans="1:14" ht="13.35" customHeight="1" x14ac:dyDescent="0.2">
      <c r="A56" s="189"/>
      <c r="B56" s="189"/>
      <c r="C56" s="189"/>
      <c r="D56" s="189"/>
      <c r="E56" s="205" t="str">
        <f>Jan!E56</f>
        <v xml:space="preserve"> </v>
      </c>
      <c r="F56" s="206"/>
      <c r="G56" s="207" t="str">
        <f>IF(E56=" ", " ", IF(Mantelbogen!D26=I11,Mantelbogen!C29,Apr!G57))</f>
        <v xml:space="preserve"> </v>
      </c>
      <c r="H56" s="282">
        <v>0</v>
      </c>
      <c r="I56" s="223" t="s">
        <v>133</v>
      </c>
      <c r="J56" s="224"/>
      <c r="K56" s="204"/>
      <c r="L56" s="204"/>
    </row>
    <row r="57" spans="1:14" ht="13.5" thickBot="1" x14ac:dyDescent="0.25">
      <c r="A57" s="189"/>
      <c r="B57" s="189"/>
      <c r="C57" s="189"/>
      <c r="D57" s="189"/>
      <c r="E57" s="205" t="str">
        <f>Jan!E57</f>
        <v xml:space="preserve"> </v>
      </c>
      <c r="F57" s="207"/>
      <c r="G57" s="207" t="str">
        <f>IF(E56=" ", " ", -COUNTIF(C19:C49, "Urlaub*" ))</f>
        <v xml:space="preserve"> </v>
      </c>
      <c r="H57" s="283">
        <v>0</v>
      </c>
      <c r="I57" s="225"/>
      <c r="J57" s="226"/>
      <c r="K57" s="204"/>
      <c r="L57" s="208"/>
      <c r="M57" s="209"/>
    </row>
    <row r="58" spans="1:14" ht="21.95" customHeight="1" thickBot="1" x14ac:dyDescent="0.25">
      <c r="A58" s="199" t="s">
        <v>10</v>
      </c>
      <c r="B58" s="199"/>
      <c r="C58" s="199"/>
      <c r="D58" s="199"/>
      <c r="E58" s="205" t="str">
        <f>Jan!E58</f>
        <v xml:space="preserve"> </v>
      </c>
      <c r="F58" s="210"/>
      <c r="G58" s="211" t="str">
        <f>IF(E56=" ", " ", IF(Mantelbogen!C29 &gt; 0.0001, G56+G57, 0))</f>
        <v xml:space="preserve"> </v>
      </c>
      <c r="H58" s="287">
        <f>SUM(H51:H57)</f>
        <v>1.6458333333333333</v>
      </c>
      <c r="I58" s="227"/>
      <c r="J58" s="228"/>
      <c r="L58" s="212" t="str">
        <f>Mantelbogen!D50</f>
        <v>15.12.2025  HAdW / G. Wolff</v>
      </c>
      <c r="M58" s="209"/>
    </row>
    <row r="59" spans="1:14" x14ac:dyDescent="0.2">
      <c r="F59" s="213"/>
    </row>
    <row r="60" spans="1:14" x14ac:dyDescent="0.2">
      <c r="G60" s="214"/>
      <c r="H60" s="214"/>
      <c r="I60" s="214"/>
      <c r="J60" s="207"/>
    </row>
  </sheetData>
  <sheetProtection algorithmName="SHA-512" hashValue="3FwtJTzZzLGLNklEXrNK4aJBgiULH+XPSKOL371vz2tbU1iFcEmcWZXSs3MJy1UeswxQfjI+E4RkYmfJiiEjmQ==" saltValue="VbU1rOsMOVpxBhmyHRo/kA==" spinCount="100000" sheet="1" objects="1" scenarios="1"/>
  <mergeCells count="64">
    <mergeCell ref="A1:F2"/>
    <mergeCell ref="A3:F3"/>
    <mergeCell ref="A4:F6"/>
    <mergeCell ref="M15:M16"/>
    <mergeCell ref="A54:D54"/>
    <mergeCell ref="G60:I60"/>
    <mergeCell ref="A55:D55"/>
    <mergeCell ref="A56:D57"/>
    <mergeCell ref="I56:J58"/>
    <mergeCell ref="A58:D58"/>
    <mergeCell ref="J53:J54"/>
    <mergeCell ref="I53:I54"/>
    <mergeCell ref="F48:G48"/>
    <mergeCell ref="F49:G49"/>
    <mergeCell ref="A51:D51"/>
    <mergeCell ref="I51:I52"/>
    <mergeCell ref="J51:J52"/>
    <mergeCell ref="A52:D53"/>
    <mergeCell ref="F47:G47"/>
    <mergeCell ref="F36:G36"/>
    <mergeCell ref="F37:G37"/>
    <mergeCell ref="F38:G38"/>
    <mergeCell ref="F39:G39"/>
    <mergeCell ref="F40:G40"/>
    <mergeCell ref="F41:G41"/>
    <mergeCell ref="F42:G42"/>
    <mergeCell ref="F43:G43"/>
    <mergeCell ref="F44:G44"/>
    <mergeCell ref="F45:G45"/>
    <mergeCell ref="F46:G46"/>
    <mergeCell ref="H15:H18"/>
    <mergeCell ref="F22:G22"/>
    <mergeCell ref="F35:G35"/>
    <mergeCell ref="F24:G24"/>
    <mergeCell ref="F25:G25"/>
    <mergeCell ref="F26:G26"/>
    <mergeCell ref="F27:G27"/>
    <mergeCell ref="F28:G28"/>
    <mergeCell ref="F29:G29"/>
    <mergeCell ref="F30:G30"/>
    <mergeCell ref="F31:G31"/>
    <mergeCell ref="F32:G32"/>
    <mergeCell ref="F33:G33"/>
    <mergeCell ref="F34:G34"/>
    <mergeCell ref="E15:E18"/>
    <mergeCell ref="F15:G18"/>
    <mergeCell ref="F19:G19"/>
    <mergeCell ref="F20:G20"/>
    <mergeCell ref="F21:G21"/>
    <mergeCell ref="K51:K52"/>
    <mergeCell ref="L51:L52"/>
    <mergeCell ref="G1:J7"/>
    <mergeCell ref="A11:B11"/>
    <mergeCell ref="A13:B13"/>
    <mergeCell ref="A15:A18"/>
    <mergeCell ref="I15:J15"/>
    <mergeCell ref="I17:I18"/>
    <mergeCell ref="J17:J18"/>
    <mergeCell ref="K15:L16"/>
    <mergeCell ref="K17:L18"/>
    <mergeCell ref="F23:G23"/>
    <mergeCell ref="B15:B18"/>
    <mergeCell ref="C15:C18"/>
    <mergeCell ref="D15:D18"/>
  </mergeCells>
  <phoneticPr fontId="0" type="noConversion"/>
  <conditionalFormatting sqref="A19:A49 C19:L49">
    <cfRule type="expression" dxfId="95" priority="1">
      <formula>COUNT(SEARCH(Sonderarbeit,$N19))&gt;=1</formula>
    </cfRule>
  </conditionalFormatting>
  <conditionalFormatting sqref="A19:L49">
    <cfRule type="expression" dxfId="94" priority="5">
      <formula>AND(ISTEXT($C19),$C19&lt;&gt;"Kinderkrankentag",$C19&lt;&gt;"Urlaub",$C19&lt;&gt;"Krank",$C19&lt;&gt;"Ausgleich")</formula>
    </cfRule>
  </conditionalFormatting>
  <conditionalFormatting sqref="C19:C49">
    <cfRule type="expression" dxfId="92" priority="7">
      <formula>ISTEXT($C19)</formula>
    </cfRule>
  </conditionalFormatting>
  <conditionalFormatting sqref="D19:H49">
    <cfRule type="expression" dxfId="88" priority="4">
      <formula>AND(ISTEXT($C19),OR($C19="Kinderkrankentag",$C19="Urlaub",$C19="Krank",$C19="Ausgleich"))</formula>
    </cfRule>
  </conditionalFormatting>
  <conditionalFormatting sqref="D19:J49">
    <cfRule type="expression" dxfId="87" priority="3">
      <formula>AND(ISTEXT($C19),$C19&lt;&gt;"Kinderkrankentag",$C19&lt;&gt;"Urlaub",$C19&lt;&gt;"Krank",$C19&lt;&gt;"Ausgleich")</formula>
    </cfRule>
  </conditionalFormatting>
  <conditionalFormatting sqref="F19:F49">
    <cfRule type="expression" dxfId="85" priority="11">
      <formula>AND(ISNONTEXT($C19),$F19 &gt; 0.666667)</formula>
    </cfRule>
  </conditionalFormatting>
  <dataValidations count="1">
    <dataValidation type="custom" errorStyle="warning" allowBlank="1" showErrorMessage="1" errorTitle="Samstagsarbeit" error="Tragen Sie hier bitte nur etwas ein, wenn Sie tatsächlich REGELMÄßIG und angeordnet Samstag arbeiten. Ansonsten tragen Sie bitte am entsprechenden Tag in Spalte N „Samstagsarbeit“ ein und der entsprechende Tag wird verfügbar." promptTitle="Samstagsarbeit" prompt="Tragen Sie hier bitte nur etwas ein, wenn Sie tatsächlich REGELMÄßIG und angeordnet Samstag arbeiten. Ansonsten tragen Sie bitte am entsprechenden Tag in Spalte N „Samstagsarbeit“ ein und der entsprechende Tag wird verfügbar." sqref="H56" xr:uid="{F8D56AD4-69CE-4B72-9BBD-5A81A34C380C}">
      <formula1>$A$4="Arbeitszeitblatt"</formula1>
    </dataValidation>
  </dataValidations>
  <printOptions horizontalCentered="1" verticalCentered="1"/>
  <pageMargins left="1.0236220472440944" right="0.23622047244094491" top="0.15748031496062992" bottom="0.19685039370078741" header="0.15748031496062992" footer="0.15748031496062992"/>
  <pageSetup paperSize="9" scale="82" orientation="portrait" horizontalDpi="1200" verticalDpi="1200"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 id="{B560A310-DC63-4C2E-B622-437FE9A3178A}">
            <xm:f>OR(AND($B19=Ref!$A$7,$H$56=0), AND($B19=Ref!$A$8,$H$57=0), NOT( ISERROR(FIND("feiertag",LOWER($C19)) ) ) )</xm:f>
            <x14:dxf>
              <fill>
                <patternFill patternType="solid">
                  <bgColor theme="4" tint="0.79998168889431442"/>
                </patternFill>
              </fill>
            </x14:dxf>
          </x14:cfRule>
          <xm:sqref>A19:L49</xm:sqref>
        </x14:conditionalFormatting>
        <x14:conditionalFormatting xmlns:xm="http://schemas.microsoft.com/office/excel/2006/main">
          <x14:cfRule type="expression" priority="9" id="{35DA9E92-B9B2-4EDA-BAF4-D2FD812A6927}">
            <xm:f>AND($B19=Ref!$A$7, $H$56&gt;0.00001)</xm:f>
            <x14:dxf>
              <font>
                <b val="0"/>
                <i val="0"/>
                <color theme="1"/>
              </font>
              <fill>
                <patternFill patternType="none">
                  <bgColor auto="1"/>
                </patternFill>
              </fill>
            </x14:dxf>
          </x14:cfRule>
          <x14:cfRule type="expression" priority="10" id="{76C01D19-2732-44B6-A620-2E36883CD845}">
            <xm:f>AND($B19=Ref!$A$8, $H$57&gt;0.00001)</xm:f>
            <x14:dxf>
              <font>
                <b val="0"/>
                <i val="0"/>
              </font>
              <fill>
                <patternFill patternType="none">
                  <bgColor auto="1"/>
                </patternFill>
              </fill>
            </x14:dxf>
          </x14:cfRule>
          <xm:sqref>C19:I49</xm:sqref>
        </x14:conditionalFormatting>
        <x14:conditionalFormatting xmlns:xm="http://schemas.microsoft.com/office/excel/2006/main">
          <x14:cfRule type="expression" priority="8" id="{606D3887-F3FD-4D34-878E-F2BE6F0B60AF}">
            <xm:f>OR(AND($B19=Ref!$A$7, $H$56&lt;0.00001),AND($B19=Ref!$A$8, $H$57&lt;0.00001))</xm:f>
            <x14:dxf>
              <font>
                <color theme="4" tint="0.79998168889431442"/>
              </font>
              <fill>
                <patternFill>
                  <bgColor theme="4" tint="0.79998168889431442"/>
                </patternFill>
              </fill>
            </x14:dxf>
          </x14:cfRule>
          <xm:sqref>C19:J49</xm:sqref>
        </x14:conditionalFormatting>
        <x14:conditionalFormatting xmlns:xm="http://schemas.microsoft.com/office/excel/2006/main">
          <x14:cfRule type="expression" priority="2" id="{CE522992-CBBF-49C4-90E5-045688B90823}">
            <xm:f>AND(OR(AND($F19 &gt; 0.250001, $E19 &lt; 0.020833332), AND($F19 &gt; 0.375, $E19 &lt; 0.03124999)  ),OR(AND($B19&lt;&gt;Ref!$A$7, $B19&lt;&gt;Ref!$A$8),COUNT(SEARCH(Sonderarbeit,$N19))&gt;=1),ISNUMBER($C19))</xm:f>
            <x14:dxf>
              <fill>
                <patternFill>
                  <bgColor rgb="FFFF0000"/>
                </patternFill>
              </fill>
            </x14:dxf>
          </x14:cfRule>
          <xm:sqref>E19:E49</xm:sqref>
        </x14:conditionalFormatting>
      </x14:conditionalFormattings>
    </ext>
    <ext xmlns:x14="http://schemas.microsoft.com/office/spreadsheetml/2009/9/main" uri="{CCE6A557-97BC-4b89-ADB6-D9C93CAAB3DF}">
      <x14:dataValidations xmlns:xm="http://schemas.microsoft.com/office/excel/2006/main" count="1">
        <x14:dataValidation type="custom" errorStyle="information" allowBlank="1" showInputMessage="1" showErrorMessage="1" errorTitle="Samstagsarbeit" error="Tragen Sie hier bitte nur die tasächlich angefallene Arbeit ein. Tragen Sie ggf. anfallende Zuschläge auf ein separates Tabellenblatt ein und übertragen diese in das Kästchen I50." xr:uid="{7FF3EF47-0DFD-4A6B-A661-4B92DAC8D1CE}">
          <x14:formula1>
            <xm:f>NOT(OFFSET(C19,0,2-COLUMN(C19))=Ref!$A$7)</xm:f>
          </x14:formula1>
          <xm:sqref>C19:E49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pageSetUpPr fitToPage="1"/>
  </sheetPr>
  <dimension ref="A1:AP61"/>
  <sheetViews>
    <sheetView zoomScaleNormal="100" workbookViewId="0">
      <selection sqref="A1:F2"/>
    </sheetView>
  </sheetViews>
  <sheetFormatPr defaultColWidth="11.5703125" defaultRowHeight="12.75" x14ac:dyDescent="0.2"/>
  <cols>
    <col min="1" max="1" width="5.5703125" style="125" customWidth="1"/>
    <col min="2" max="2" width="9.85546875" style="102" bestFit="1" customWidth="1"/>
    <col min="3" max="3" width="15.85546875" style="102" bestFit="1" customWidth="1"/>
    <col min="4" max="4" width="13.140625" style="102" bestFit="1" customWidth="1"/>
    <col min="5" max="5" width="8.5703125" style="98" customWidth="1"/>
    <col min="6" max="6" width="7.140625" style="98" customWidth="1"/>
    <col min="7" max="7" width="3.42578125" style="98" customWidth="1"/>
    <col min="8" max="8" width="9.140625" style="98" customWidth="1"/>
    <col min="9" max="9" width="11" style="98" bestFit="1" customWidth="1"/>
    <col min="10" max="10" width="12.140625" style="98" bestFit="1" customWidth="1"/>
    <col min="11" max="11" width="2.85546875" style="113" customWidth="1"/>
    <col min="12" max="12" width="9" style="114" customWidth="1"/>
    <col min="13" max="13" width="16.42578125" style="288" customWidth="1"/>
    <col min="14" max="14" width="18.140625" style="100" customWidth="1"/>
    <col min="15" max="16384" width="11.5703125" style="98"/>
  </cols>
  <sheetData>
    <row r="1" spans="1:12" ht="12.95" customHeight="1" x14ac:dyDescent="0.2">
      <c r="A1" s="215" t="s">
        <v>48</v>
      </c>
      <c r="B1" s="215"/>
      <c r="C1" s="215"/>
      <c r="D1" s="215"/>
      <c r="E1" s="215"/>
      <c r="F1" s="215"/>
      <c r="G1" s="97" t="s">
        <v>9</v>
      </c>
      <c r="H1" s="97"/>
      <c r="I1" s="97"/>
      <c r="J1" s="97"/>
      <c r="K1" s="98"/>
      <c r="L1" s="98"/>
    </row>
    <row r="2" spans="1:12" ht="12.95" customHeight="1" x14ac:dyDescent="0.2">
      <c r="A2" s="215"/>
      <c r="B2" s="215"/>
      <c r="C2" s="215"/>
      <c r="D2" s="215"/>
      <c r="E2" s="215"/>
      <c r="F2" s="215"/>
      <c r="G2" s="97"/>
      <c r="H2" s="97"/>
      <c r="I2" s="97"/>
      <c r="J2" s="97"/>
      <c r="K2" s="98"/>
      <c r="L2" s="98"/>
    </row>
    <row r="3" spans="1:12" x14ac:dyDescent="0.2">
      <c r="A3" s="216" t="s">
        <v>11</v>
      </c>
      <c r="B3" s="216"/>
      <c r="C3" s="216"/>
      <c r="D3" s="216"/>
      <c r="E3" s="216"/>
      <c r="F3" s="216"/>
      <c r="G3" s="97"/>
      <c r="H3" s="97"/>
      <c r="I3" s="97"/>
      <c r="J3" s="97"/>
      <c r="K3" s="98"/>
      <c r="L3" s="98"/>
    </row>
    <row r="4" spans="1:12" ht="13.35" customHeight="1" x14ac:dyDescent="0.2">
      <c r="A4" s="217" t="s">
        <v>5</v>
      </c>
      <c r="B4" s="217"/>
      <c r="C4" s="217"/>
      <c r="D4" s="217"/>
      <c r="E4" s="217"/>
      <c r="F4" s="217"/>
      <c r="G4" s="97"/>
      <c r="H4" s="97"/>
      <c r="I4" s="97"/>
      <c r="J4" s="97"/>
      <c r="K4" s="98"/>
      <c r="L4" s="98"/>
    </row>
    <row r="5" spans="1:12" ht="6" customHeight="1" x14ac:dyDescent="0.2">
      <c r="A5" s="217"/>
      <c r="B5" s="217"/>
      <c r="C5" s="217"/>
      <c r="D5" s="217"/>
      <c r="E5" s="217"/>
      <c r="F5" s="217"/>
      <c r="G5" s="97"/>
      <c r="H5" s="97"/>
      <c r="I5" s="97"/>
      <c r="J5" s="97"/>
      <c r="K5" s="98"/>
      <c r="L5" s="98"/>
    </row>
    <row r="6" spans="1:12" ht="13.35" customHeight="1" x14ac:dyDescent="0.2">
      <c r="A6" s="217"/>
      <c r="B6" s="217"/>
      <c r="C6" s="217"/>
      <c r="D6" s="217"/>
      <c r="E6" s="217"/>
      <c r="F6" s="217"/>
      <c r="G6" s="97"/>
      <c r="H6" s="97"/>
      <c r="I6" s="97"/>
      <c r="J6" s="97"/>
      <c r="K6" s="98"/>
      <c r="L6" s="98"/>
    </row>
    <row r="7" spans="1:12" ht="13.35" customHeight="1" x14ac:dyDescent="0.2">
      <c r="A7" s="101"/>
      <c r="B7" s="101"/>
      <c r="C7" s="101"/>
      <c r="D7" s="101"/>
      <c r="E7" s="101"/>
      <c r="F7" s="101"/>
      <c r="G7" s="97"/>
      <c r="H7" s="97"/>
      <c r="I7" s="97"/>
      <c r="J7" s="97"/>
      <c r="K7" s="98"/>
      <c r="L7" s="98"/>
    </row>
    <row r="8" spans="1:12" ht="6" customHeight="1" thickBot="1" x14ac:dyDescent="0.25">
      <c r="A8" s="103"/>
      <c r="B8" s="104"/>
      <c r="C8" s="104"/>
      <c r="D8" s="104"/>
      <c r="E8" s="105"/>
      <c r="F8" s="105"/>
      <c r="G8" s="105"/>
      <c r="H8" s="105"/>
      <c r="I8" s="106"/>
      <c r="J8" s="106"/>
      <c r="K8" s="107"/>
      <c r="L8" s="108"/>
    </row>
    <row r="9" spans="1:12" ht="6" customHeight="1" x14ac:dyDescent="0.2">
      <c r="A9" s="109"/>
      <c r="B9" s="110"/>
      <c r="C9" s="110"/>
      <c r="D9" s="110"/>
      <c r="E9" s="111"/>
      <c r="F9" s="111"/>
      <c r="G9" s="111"/>
      <c r="H9" s="111"/>
      <c r="I9" s="112"/>
      <c r="J9" s="112"/>
    </row>
    <row r="10" spans="1:12" x14ac:dyDescent="0.2">
      <c r="A10" s="109"/>
      <c r="B10" s="110"/>
      <c r="C10" s="110"/>
      <c r="D10" s="110"/>
      <c r="E10" s="111"/>
      <c r="F10" s="111"/>
      <c r="G10" s="111"/>
      <c r="I10" s="112"/>
      <c r="J10" s="112"/>
    </row>
    <row r="11" spans="1:12" x14ac:dyDescent="0.2">
      <c r="A11" s="115" t="s">
        <v>6</v>
      </c>
      <c r="B11" s="115"/>
      <c r="C11" s="116" t="str">
        <f>Mai!C11</f>
        <v>ATHENE, Pallas</v>
      </c>
      <c r="D11" s="117"/>
      <c r="E11" s="118"/>
      <c r="F11" s="119"/>
      <c r="G11" s="119" t="s">
        <v>8</v>
      </c>
      <c r="H11" s="120"/>
      <c r="I11" s="121">
        <f>DATE(J11,6,1)</f>
        <v>46174</v>
      </c>
      <c r="J11" s="122">
        <f>Jan!J11</f>
        <v>2026</v>
      </c>
      <c r="K11" s="123"/>
      <c r="L11" s="124"/>
    </row>
    <row r="12" spans="1:12" x14ac:dyDescent="0.2">
      <c r="B12" s="114"/>
      <c r="C12" s="126"/>
      <c r="D12" s="127"/>
      <c r="E12" s="119"/>
      <c r="F12" s="119"/>
      <c r="G12" s="111"/>
      <c r="I12" s="289"/>
      <c r="J12" s="289"/>
      <c r="K12" s="289"/>
      <c r="L12" s="289"/>
    </row>
    <row r="13" spans="1:12" x14ac:dyDescent="0.2">
      <c r="A13" s="115" t="s">
        <v>7</v>
      </c>
      <c r="B13" s="115"/>
      <c r="C13" s="116" t="str">
        <f>Mai!C13</f>
        <v>Geschäftsstelle</v>
      </c>
      <c r="D13" s="130"/>
      <c r="E13" s="118"/>
      <c r="F13" s="131"/>
      <c r="G13" s="131"/>
      <c r="H13" s="120"/>
      <c r="I13" s="290"/>
      <c r="J13" s="290"/>
      <c r="K13" s="290"/>
      <c r="L13" s="290"/>
    </row>
    <row r="14" spans="1:12" ht="13.5" thickBot="1" x14ac:dyDescent="0.25"/>
    <row r="15" spans="1:12" ht="13.35" customHeight="1" x14ac:dyDescent="0.2">
      <c r="A15" s="231"/>
      <c r="B15" s="231" t="s">
        <v>14</v>
      </c>
      <c r="C15" s="231" t="s">
        <v>110</v>
      </c>
      <c r="D15" s="231" t="s">
        <v>145</v>
      </c>
      <c r="E15" s="231" t="s">
        <v>16</v>
      </c>
      <c r="F15" s="133" t="s">
        <v>143</v>
      </c>
      <c r="G15" s="133"/>
      <c r="H15" s="134" t="s">
        <v>43</v>
      </c>
      <c r="I15" s="136" t="s">
        <v>0</v>
      </c>
      <c r="J15" s="136"/>
      <c r="K15" s="137" t="s">
        <v>41</v>
      </c>
      <c r="L15" s="138"/>
    </row>
    <row r="16" spans="1:12" ht="13.5" thickBot="1" x14ac:dyDescent="0.25">
      <c r="A16" s="237"/>
      <c r="B16" s="237"/>
      <c r="C16" s="237"/>
      <c r="D16" s="237"/>
      <c r="E16" s="237"/>
      <c r="F16" s="133"/>
      <c r="G16" s="133"/>
      <c r="H16" s="141"/>
      <c r="I16" s="143" t="s">
        <v>1</v>
      </c>
      <c r="J16" s="143" t="s">
        <v>2</v>
      </c>
      <c r="K16" s="144"/>
      <c r="L16" s="145"/>
    </row>
    <row r="17" spans="1:14" ht="13.5" customHeight="1" thickBot="1" x14ac:dyDescent="0.25">
      <c r="A17" s="237"/>
      <c r="B17" s="237"/>
      <c r="C17" s="237"/>
      <c r="D17" s="237"/>
      <c r="E17" s="237"/>
      <c r="F17" s="133"/>
      <c r="G17" s="133"/>
      <c r="H17" s="141"/>
      <c r="I17" s="147">
        <f>IF(Mantelbogen!D26=I11,Mantelbogen!C28,Mai!I53)</f>
        <v>0.75000000000000078</v>
      </c>
      <c r="J17" s="148" t="str">
        <f>IF(Mantelbogen!D26=I11,Mantelbogen!D28,Mai!J53)</f>
        <v/>
      </c>
      <c r="K17" s="149" t="str">
        <f>IF(I17/H57 &gt; 1, I17/H57, " " )</f>
        <v xml:space="preserve"> </v>
      </c>
      <c r="L17" s="150"/>
    </row>
    <row r="18" spans="1:14" ht="13.5" customHeight="1" thickBot="1" x14ac:dyDescent="0.25">
      <c r="A18" s="246"/>
      <c r="B18" s="247"/>
      <c r="C18" s="247"/>
      <c r="D18" s="247"/>
      <c r="E18" s="247"/>
      <c r="F18" s="133"/>
      <c r="G18" s="133"/>
      <c r="H18" s="152"/>
      <c r="I18" s="147"/>
      <c r="J18" s="148"/>
      <c r="K18" s="153"/>
      <c r="L18" s="154"/>
    </row>
    <row r="19" spans="1:14" ht="17.45" customHeight="1" x14ac:dyDescent="0.35">
      <c r="A19" s="155">
        <v>1</v>
      </c>
      <c r="B19" s="156" t="str">
        <f>TEXT(DATE(J$11,MONTH(I$11),A19),Textcode)</f>
        <v>Montag</v>
      </c>
      <c r="C19" s="157">
        <v>0.35416666666666669</v>
      </c>
      <c r="D19" s="157">
        <v>0.70833333333333337</v>
      </c>
      <c r="E19" s="157">
        <v>2.0833333333333332E-2</v>
      </c>
      <c r="F19" s="158">
        <f>IF(ISTEXT(C19),,D19-C19-E19)</f>
        <v>0.33333333333333337</v>
      </c>
      <c r="G19" s="159"/>
      <c r="H19" s="160">
        <f t="shared" ref="H19:H35" si="0">IF(AND(ISTEXT(C19),ISERR(SEARCH("ausgleich",C19,1))),,INDEX(H$50:H$57,WEEKDAY(DATE(J$11,MONTH(I$11),A19),2),1,1))</f>
        <v>0.33333333333333331</v>
      </c>
      <c r="I19" s="161" t="str">
        <f t="array" ref="I19">IF(AND(F19&gt;H19,OR(AND(OR($B19&lt;&gt;Ref!$A$7,$H$55&gt;0),OR($B19&lt;&gt;Ref!$A$8,$H$56&gt;0)),COUNT(SEARCH(Sonderarbeit,$N19))&gt;=1),ISNONTEXT(C19),C19&lt;&gt;""),F19-H19,"")</f>
        <v/>
      </c>
      <c r="J19" s="162" t="str">
        <f t="array" ref="J19">IF(OR(AND(F19&lt;H19,OR(AND(OR($B19&lt;&gt;Ref!$A$7,$H$55&gt;0),OR($B19&lt;&gt;Ref!$A$8,$H$56&gt;0)),COUNT(SEARCH(Sonderarbeit,$N19))&gt;=1)),C19="Ausgleich"),H19-F19,"")</f>
        <v/>
      </c>
      <c r="K19" s="163" t="str">
        <f>IF(AND(B19=Ref!$A$8,SUM(I19:I19)&lt;SUM(J19:J19)),"-","")</f>
        <v/>
      </c>
      <c r="L19" s="164" t="str">
        <f>IF(B19=Ref!$A$8,ABS(SUM(I19:I19)-SUM(J19:J19)),"")</f>
        <v/>
      </c>
      <c r="M19" s="100"/>
    </row>
    <row r="20" spans="1:14" ht="17.45" customHeight="1" x14ac:dyDescent="0.35">
      <c r="A20" s="155">
        <v>2</v>
      </c>
      <c r="B20" s="156" t="str">
        <f t="shared" ref="B20:B48" si="1">TEXT(DATE(J$11,MONTH(I$11),A20),Textcode)</f>
        <v>Dienstag</v>
      </c>
      <c r="C20" s="157">
        <v>0.35416666666666669</v>
      </c>
      <c r="D20" s="157">
        <v>0.70833333333333337</v>
      </c>
      <c r="E20" s="157">
        <v>2.0833333333333332E-2</v>
      </c>
      <c r="F20" s="158">
        <f t="shared" ref="F20:F48" si="2">IF(ISTEXT(C20),,D20-C20-E20)</f>
        <v>0.33333333333333337</v>
      </c>
      <c r="G20" s="159"/>
      <c r="H20" s="160">
        <f t="shared" si="0"/>
        <v>0.33333333333333331</v>
      </c>
      <c r="I20" s="161" t="str">
        <f t="array" ref="I20">IF(AND(F20&gt;H20,OR(AND(OR($B20&lt;&gt;Ref!$A$7,$H$55&gt;0),OR($B20&lt;&gt;Ref!$A$8,$H$56&gt;0)),COUNT(SEARCH(Sonderarbeit,$N20))&gt;=1),ISNONTEXT(C20),C20&lt;&gt;""),F20-H20,"")</f>
        <v/>
      </c>
      <c r="J20" s="162" t="str">
        <f t="array" ref="J20">IF(OR(AND(F20&lt;H20,OR(AND(OR($B20&lt;&gt;Ref!$A$7,$H$55&gt;0),OR($B20&lt;&gt;Ref!$A$8,$H$56&gt;0)),COUNT(SEARCH(Sonderarbeit,$N20))&gt;=1)),C20="Ausgleich"),H20-F20,"")</f>
        <v/>
      </c>
      <c r="K20" s="166" t="str">
        <f>IF(AND(B20=Ref!$A$8,SUM(I19:I20)&lt;SUM(J19:J20)),"-","")</f>
        <v/>
      </c>
      <c r="L20" s="167" t="str">
        <f>IF(B20=Ref!$A$8,ABS(SUM(I19:I20)-SUM(J19:J20)),"")</f>
        <v/>
      </c>
    </row>
    <row r="21" spans="1:14" ht="17.45" customHeight="1" x14ac:dyDescent="0.35">
      <c r="A21" s="155">
        <v>3</v>
      </c>
      <c r="B21" s="156" t="str">
        <f t="shared" si="1"/>
        <v>Mittwoch</v>
      </c>
      <c r="C21" s="157">
        <v>0.35416666666666669</v>
      </c>
      <c r="D21" s="157">
        <v>0.70833333333333337</v>
      </c>
      <c r="E21" s="157">
        <v>2.0833333333333332E-2</v>
      </c>
      <c r="F21" s="158">
        <f t="shared" si="2"/>
        <v>0.33333333333333337</v>
      </c>
      <c r="G21" s="159"/>
      <c r="H21" s="160">
        <f t="shared" si="0"/>
        <v>0.33333333333333331</v>
      </c>
      <c r="I21" s="161" t="str">
        <f t="array" ref="I21">IF(AND(F21&gt;H21,OR(AND(OR($B21&lt;&gt;Ref!$A$7,$H$55&gt;0),OR($B21&lt;&gt;Ref!$A$8,$H$56&gt;0)),COUNT(SEARCH(Sonderarbeit,$N21))&gt;=1),ISNONTEXT(C21),C21&lt;&gt;""),F21-H21,"")</f>
        <v/>
      </c>
      <c r="J21" s="162" t="str">
        <f t="array" ref="J21">IF(OR(AND(F21&lt;H21,OR(AND(OR($B21&lt;&gt;Ref!$A$7,$H$55&gt;0),OR($B21&lt;&gt;Ref!$A$8,$H$56&gt;0)),COUNT(SEARCH(Sonderarbeit,$N21))&gt;=1)),C21="Ausgleich"),H21-F21,"")</f>
        <v/>
      </c>
      <c r="K21" s="166" t="str">
        <f>IF(AND(B21=Ref!$A$8,SUM(I19:I21)&lt;SUM(J19:J21)),"-","")</f>
        <v/>
      </c>
      <c r="L21" s="167" t="str">
        <f>IF(B21=Ref!$A$8,ABS(SUM(I19:I21)-SUM(J19:J21)),"")</f>
        <v/>
      </c>
    </row>
    <row r="22" spans="1:14" ht="17.45" customHeight="1" x14ac:dyDescent="0.35">
      <c r="A22" s="168">
        <v>4</v>
      </c>
      <c r="B22" s="156" t="str">
        <f t="shared" si="1"/>
        <v>Donnerstag</v>
      </c>
      <c r="C22" s="157" t="s">
        <v>86</v>
      </c>
      <c r="D22" s="157">
        <v>0.70833333333333337</v>
      </c>
      <c r="E22" s="157">
        <v>2.0833333333333332E-2</v>
      </c>
      <c r="F22" s="158">
        <f t="shared" si="2"/>
        <v>0</v>
      </c>
      <c r="G22" s="159"/>
      <c r="H22" s="160">
        <f t="shared" si="0"/>
        <v>0</v>
      </c>
      <c r="I22" s="161" t="str">
        <f t="array" ref="I22">IF(AND(F22&gt;H22,OR(AND(OR($B22&lt;&gt;Ref!$A$7,$H$55&gt;0),OR($B22&lt;&gt;Ref!$A$8,$H$56&gt;0)),COUNT(SEARCH(Sonderarbeit,$N22))&gt;=1),ISNONTEXT(C22),C22&lt;&gt;""),F22-H22,"")</f>
        <v/>
      </c>
      <c r="J22" s="162" t="str">
        <f t="array" ref="J22">IF(OR(AND(F22&lt;H22,OR(AND(OR($B22&lt;&gt;Ref!$A$7,$H$55&gt;0),OR($B22&lt;&gt;Ref!$A$8,$H$56&gt;0)),COUNT(SEARCH(Sonderarbeit,$N22))&gt;=1)),C22="Ausgleich"),H22-F22,"")</f>
        <v/>
      </c>
      <c r="K22" s="166" t="str">
        <f>IF(AND(B22=Ref!$A$8,SUM(I19:I22)&lt;SUM(J19:J22)),"-","")</f>
        <v/>
      </c>
      <c r="L22" s="167" t="str">
        <f>IF(B22=Ref!$A$8,ABS(SUM(I19:I22)-SUM(J19:J22)),"")</f>
        <v/>
      </c>
    </row>
    <row r="23" spans="1:14" ht="17.45" customHeight="1" x14ac:dyDescent="0.35">
      <c r="A23" s="168">
        <v>5</v>
      </c>
      <c r="B23" s="156" t="str">
        <f t="shared" si="1"/>
        <v>Freitag</v>
      </c>
      <c r="C23" s="157">
        <v>0.35416666666666669</v>
      </c>
      <c r="D23" s="157">
        <v>0.70833333333333337</v>
      </c>
      <c r="E23" s="157">
        <v>2.0833333333333332E-2</v>
      </c>
      <c r="F23" s="158">
        <f t="shared" si="2"/>
        <v>0.33333333333333337</v>
      </c>
      <c r="G23" s="159"/>
      <c r="H23" s="160">
        <f t="shared" si="0"/>
        <v>0.3125</v>
      </c>
      <c r="I23" s="161">
        <f t="array" ref="I23">IF(AND(F23&gt;H23,OR(AND(OR($B23&lt;&gt;Ref!$A$7,$H$55&gt;0),OR($B23&lt;&gt;Ref!$A$8,$H$56&gt;0)),COUNT(SEARCH(Sonderarbeit,$N23))&gt;=1),ISNONTEXT(C23),C23&lt;&gt;""),F23-H23,"")</f>
        <v>2.083333333333337E-2</v>
      </c>
      <c r="J23" s="162" t="str">
        <f t="array" ref="J23">IF(OR(AND(F23&lt;H23,OR(AND(OR($B23&lt;&gt;Ref!$A$7,$H$55&gt;0),OR($B23&lt;&gt;Ref!$A$8,$H$56&gt;0)),COUNT(SEARCH(Sonderarbeit,$N23))&gt;=1)),C23="Ausgleich"),H23-F23,"")</f>
        <v/>
      </c>
      <c r="K23" s="166" t="str">
        <f>IF(AND(B23=Ref!$A$8,SUM(I19:I23)&lt;SUM(J19:J23)),"-","")</f>
        <v/>
      </c>
      <c r="L23" s="167" t="str">
        <f>IF(B23=Ref!$A$8,ABS(SUM(I19:I23)-SUM(J19:J23)),"")</f>
        <v/>
      </c>
      <c r="N23" s="100" t="s">
        <v>123</v>
      </c>
    </row>
    <row r="24" spans="1:14" ht="17.45" customHeight="1" x14ac:dyDescent="0.35">
      <c r="A24" s="155">
        <v>6</v>
      </c>
      <c r="B24" s="156" t="str">
        <f t="shared" si="1"/>
        <v>Samstag</v>
      </c>
      <c r="C24" s="157">
        <v>0.35416666666666669</v>
      </c>
      <c r="D24" s="157">
        <v>0.70833333333333337</v>
      </c>
      <c r="E24" s="157">
        <v>2.0833333333333332E-2</v>
      </c>
      <c r="F24" s="158">
        <f t="shared" si="2"/>
        <v>0.33333333333333337</v>
      </c>
      <c r="G24" s="159"/>
      <c r="H24" s="160">
        <f t="shared" si="0"/>
        <v>0</v>
      </c>
      <c r="I24" s="161" t="str">
        <f t="array" ref="I24">IF(AND(F24&gt;H24,OR(AND(OR($B24&lt;&gt;Ref!$A$7,$H$55&gt;0),OR($B24&lt;&gt;Ref!$A$8,$H$56&gt;0)),COUNT(SEARCH(Sonderarbeit,$N24))&gt;=1),ISNONTEXT(C24),C24&lt;&gt;""),F24-H24,"")</f>
        <v/>
      </c>
      <c r="J24" s="162" t="str">
        <f t="array" ref="J24">IF(OR(AND(F24&lt;H24,OR(AND(OR($B24&lt;&gt;Ref!$A$7,$H$55&gt;0),OR($B24&lt;&gt;Ref!$A$8,$H$56&gt;0)),COUNT(SEARCH(Sonderarbeit,$N24))&gt;=1)),C24="Ausgleich"),H24-F24,"")</f>
        <v/>
      </c>
      <c r="K24" s="166" t="str">
        <f>IF(AND(B24=Ref!$A$8,SUM(I19:I24)&lt;SUM(J19:J24)),"-","")</f>
        <v/>
      </c>
      <c r="L24" s="167" t="str">
        <f>IF(B24=Ref!$A$8,ABS(SUM(I19:I24)-SUM(J19:J24)),"")</f>
        <v/>
      </c>
    </row>
    <row r="25" spans="1:14" ht="17.45" customHeight="1" x14ac:dyDescent="0.35">
      <c r="A25" s="168">
        <v>7</v>
      </c>
      <c r="B25" s="156" t="str">
        <f t="shared" si="1"/>
        <v>Sonntag</v>
      </c>
      <c r="C25" s="157">
        <v>0.35416666666666669</v>
      </c>
      <c r="D25" s="157">
        <v>0.70833333333333337</v>
      </c>
      <c r="E25" s="157">
        <v>2.0833333333333332E-2</v>
      </c>
      <c r="F25" s="158">
        <f t="shared" si="2"/>
        <v>0.33333333333333337</v>
      </c>
      <c r="G25" s="159"/>
      <c r="H25" s="160">
        <f t="shared" si="0"/>
        <v>0</v>
      </c>
      <c r="I25" s="161" t="str">
        <f t="array" ref="I25">IF(AND(F25&gt;H25,OR(AND(OR($B25&lt;&gt;Ref!$A$7,$H$55&gt;0),OR($B25&lt;&gt;Ref!$A$8,$H$56&gt;0)),COUNT(SEARCH(Sonderarbeit,$N25))&gt;=1),ISNONTEXT(C25),C25&lt;&gt;""),F25-H25,"")</f>
        <v/>
      </c>
      <c r="J25" s="162" t="str">
        <f t="array" ref="J25">IF(OR(AND(F25&lt;H25,OR(AND(OR($B25&lt;&gt;Ref!$A$7,$H$55&gt;0),OR($B25&lt;&gt;Ref!$A$8,$H$56&gt;0)),COUNT(SEARCH(Sonderarbeit,$N25))&gt;=1)),C25="Ausgleich"),H25-F25,"")</f>
        <v/>
      </c>
      <c r="K25" s="166" t="str">
        <f>IF(AND(B25=Ref!$A$8,SUM(I19:I25)&lt;SUM(J19:J25)),"-","")</f>
        <v/>
      </c>
      <c r="L25" s="167">
        <f>IF(B25=Ref!$A$8,ABS(SUM(I19:I25)-SUM(J19:J25)),"")</f>
        <v>2.083333333333337E-2</v>
      </c>
    </row>
    <row r="26" spans="1:14" ht="17.45" customHeight="1" x14ac:dyDescent="0.35">
      <c r="A26" s="168">
        <v>8</v>
      </c>
      <c r="B26" s="156" t="str">
        <f t="shared" si="1"/>
        <v>Montag</v>
      </c>
      <c r="C26" s="157">
        <v>0.35416666666666669</v>
      </c>
      <c r="D26" s="157">
        <v>0.70833333333333337</v>
      </c>
      <c r="E26" s="157">
        <v>2.0833333333333332E-2</v>
      </c>
      <c r="F26" s="158">
        <f t="shared" si="2"/>
        <v>0.33333333333333337</v>
      </c>
      <c r="G26" s="159"/>
      <c r="H26" s="160">
        <f t="shared" si="0"/>
        <v>0.33333333333333331</v>
      </c>
      <c r="I26" s="161" t="str">
        <f t="array" ref="I26">IF(AND(F26&gt;H26,OR(AND(OR($B26&lt;&gt;Ref!$A$7,$H$55&gt;0),OR($B26&lt;&gt;Ref!$A$8,$H$56&gt;0)),COUNT(SEARCH(Sonderarbeit,$N26))&gt;=1),ISNONTEXT(C26),C26&lt;&gt;""),F26-H26,"")</f>
        <v/>
      </c>
      <c r="J26" s="162" t="str">
        <f t="array" ref="J26">IF(OR(AND(F26&lt;H26,OR(AND(OR($B26&lt;&gt;Ref!$A$7,$H$55&gt;0),OR($B26&lt;&gt;Ref!$A$8,$H$56&gt;0)),COUNT(SEARCH(Sonderarbeit,$N26))&gt;=1)),C26="Ausgleich"),H26-F26,"")</f>
        <v/>
      </c>
      <c r="K26" s="166" t="str">
        <f>IF(AND(B26=Ref!$A$8,SUM(I20:I26)&lt;SUM(J20:J26)),"-","")</f>
        <v/>
      </c>
      <c r="L26" s="167" t="str">
        <f>IF(B26=Ref!$A$8,ABS(SUM(I20:I26)-SUM(J20:J26)),"")</f>
        <v/>
      </c>
    </row>
    <row r="27" spans="1:14" ht="17.45" customHeight="1" x14ac:dyDescent="0.35">
      <c r="A27" s="155">
        <v>9</v>
      </c>
      <c r="B27" s="156" t="str">
        <f t="shared" si="1"/>
        <v>Dienstag</v>
      </c>
      <c r="C27" s="157">
        <v>0.35416666666666669</v>
      </c>
      <c r="D27" s="157">
        <v>0.70833333333333337</v>
      </c>
      <c r="E27" s="157">
        <v>2.0833333333333332E-2</v>
      </c>
      <c r="F27" s="158">
        <f t="shared" si="2"/>
        <v>0.33333333333333337</v>
      </c>
      <c r="G27" s="159"/>
      <c r="H27" s="160">
        <f t="shared" si="0"/>
        <v>0.33333333333333331</v>
      </c>
      <c r="I27" s="161" t="str">
        <f t="array" ref="I27">IF(AND(F27&gt;H27,OR(AND(OR($B27&lt;&gt;Ref!$A$7,$H$55&gt;0),OR($B27&lt;&gt;Ref!$A$8,$H$56&gt;0)),COUNT(SEARCH(Sonderarbeit,$N27))&gt;=1),ISNONTEXT(C27),C27&lt;&gt;""),F27-H27,"")</f>
        <v/>
      </c>
      <c r="J27" s="162" t="str">
        <f t="array" ref="J27">IF(OR(AND(F27&lt;H27,OR(AND(OR($B27&lt;&gt;Ref!$A$7,$H$55&gt;0),OR($B27&lt;&gt;Ref!$A$8,$H$56&gt;0)),COUNT(SEARCH(Sonderarbeit,$N27))&gt;=1)),C27="Ausgleich"),H27-F27,"")</f>
        <v/>
      </c>
      <c r="K27" s="166" t="str">
        <f>IF(AND(B27=Ref!$A$8,SUM(I21:I27)&lt;SUM(J21:J27)),"-","")</f>
        <v/>
      </c>
      <c r="L27" s="167" t="str">
        <f>IF(B27=Ref!$A$8,ABS(SUM(I21:I27)-SUM(J21:J27)),"")</f>
        <v/>
      </c>
    </row>
    <row r="28" spans="1:14" ht="17.45" customHeight="1" x14ac:dyDescent="0.35">
      <c r="A28" s="155">
        <v>10</v>
      </c>
      <c r="B28" s="156" t="str">
        <f t="shared" si="1"/>
        <v>Mittwoch</v>
      </c>
      <c r="C28" s="157">
        <v>0.35416666666666669</v>
      </c>
      <c r="D28" s="157">
        <v>0.70833333333333337</v>
      </c>
      <c r="E28" s="157">
        <v>2.0833333333333332E-2</v>
      </c>
      <c r="F28" s="158">
        <f t="shared" si="2"/>
        <v>0.33333333333333337</v>
      </c>
      <c r="G28" s="159"/>
      <c r="H28" s="160">
        <f t="shared" si="0"/>
        <v>0.33333333333333331</v>
      </c>
      <c r="I28" s="161" t="str">
        <f t="array" ref="I28">IF(AND(F28&gt;H28,OR(AND(OR($B28&lt;&gt;Ref!$A$7,$H$55&gt;0),OR($B28&lt;&gt;Ref!$A$8,$H$56&gt;0)),COUNT(SEARCH(Sonderarbeit,$N28))&gt;=1),ISNONTEXT(C28),C28&lt;&gt;""),F28-H28,"")</f>
        <v/>
      </c>
      <c r="J28" s="162" t="str">
        <f t="array" ref="J28">IF(OR(AND(F28&lt;H28,OR(AND(OR($B28&lt;&gt;Ref!$A$7,$H$55&gt;0),OR($B28&lt;&gt;Ref!$A$8,$H$56&gt;0)),COUNT(SEARCH(Sonderarbeit,$N28))&gt;=1)),C28="Ausgleich"),H28-F28,"")</f>
        <v/>
      </c>
      <c r="K28" s="166" t="str">
        <f>IF(AND(B28=Ref!$A$8,SUM(I22:I28)&lt;SUM(J22:J28)),"-","")</f>
        <v/>
      </c>
      <c r="L28" s="167" t="str">
        <f>IF(B28=Ref!$A$8,ABS(SUM(I22:I28)-SUM(J22:J28)),"")</f>
        <v/>
      </c>
    </row>
    <row r="29" spans="1:14" ht="17.45" customHeight="1" x14ac:dyDescent="0.35">
      <c r="A29" s="168">
        <v>11</v>
      </c>
      <c r="B29" s="156" t="str">
        <f t="shared" si="1"/>
        <v>Donnerstag</v>
      </c>
      <c r="C29" s="157">
        <v>0.35416666666666669</v>
      </c>
      <c r="D29" s="157">
        <v>0.70833333333333337</v>
      </c>
      <c r="E29" s="157">
        <v>2.0833333333333332E-2</v>
      </c>
      <c r="F29" s="158">
        <f t="shared" si="2"/>
        <v>0.33333333333333337</v>
      </c>
      <c r="G29" s="159"/>
      <c r="H29" s="160">
        <f t="shared" si="0"/>
        <v>0.33333333333333331</v>
      </c>
      <c r="I29" s="161" t="str">
        <f t="array" ref="I29">IF(AND(F29&gt;H29,OR(AND(OR($B29&lt;&gt;Ref!$A$7,$H$55&gt;0),OR($B29&lt;&gt;Ref!$A$8,$H$56&gt;0)),COUNT(SEARCH(Sonderarbeit,$N29))&gt;=1),ISNONTEXT(C29),C29&lt;&gt;""),F29-H29,"")</f>
        <v/>
      </c>
      <c r="J29" s="162" t="str">
        <f t="array" ref="J29">IF(OR(AND(F29&lt;H29,OR(AND(OR($B29&lt;&gt;Ref!$A$7,$H$55&gt;0),OR($B29&lt;&gt;Ref!$A$8,$H$56&gt;0)),COUNT(SEARCH(Sonderarbeit,$N29))&gt;=1)),C29="Ausgleich"),H29-F29,"")</f>
        <v/>
      </c>
      <c r="K29" s="166" t="str">
        <f>IF(AND(B29=Ref!$A$8,SUM(I23:I29)&lt;SUM(J23:J29)),"-","")</f>
        <v/>
      </c>
      <c r="L29" s="167" t="str">
        <f>IF(B29=Ref!$A$8,ABS(SUM(I23:I29)-SUM(J23:J29)),"")</f>
        <v/>
      </c>
    </row>
    <row r="30" spans="1:14" ht="17.45" customHeight="1" x14ac:dyDescent="0.35">
      <c r="A30" s="168">
        <v>12</v>
      </c>
      <c r="B30" s="156" t="str">
        <f t="shared" si="1"/>
        <v>Freitag</v>
      </c>
      <c r="C30" s="157">
        <v>0.35416666666666669</v>
      </c>
      <c r="D30" s="157">
        <v>0.70833333333333337</v>
      </c>
      <c r="E30" s="157">
        <v>2.0833333333333332E-2</v>
      </c>
      <c r="F30" s="158">
        <f t="shared" si="2"/>
        <v>0.33333333333333337</v>
      </c>
      <c r="G30" s="159"/>
      <c r="H30" s="160">
        <f t="shared" si="0"/>
        <v>0.3125</v>
      </c>
      <c r="I30" s="161">
        <f t="array" ref="I30">IF(AND(F30&gt;H30,OR(AND(OR($B30&lt;&gt;Ref!$A$7,$H$55&gt;0),OR($B30&lt;&gt;Ref!$A$8,$H$56&gt;0)),COUNT(SEARCH(Sonderarbeit,$N30))&gt;=1),ISNONTEXT(C30),C30&lt;&gt;""),F30-H30,"")</f>
        <v>2.083333333333337E-2</v>
      </c>
      <c r="J30" s="162" t="str">
        <f t="array" ref="J30">IF(OR(AND(F30&lt;H30,OR(AND(OR($B30&lt;&gt;Ref!$A$7,$H$55&gt;0),OR($B30&lt;&gt;Ref!$A$8,$H$56&gt;0)),COUNT(SEARCH(Sonderarbeit,$N30))&gt;=1)),C30="Ausgleich"),H30-F30,"")</f>
        <v/>
      </c>
      <c r="K30" s="166" t="str">
        <f>IF(AND(B30=Ref!$A$8,SUM(I24:I30)&lt;SUM(J24:J30)),"-","")</f>
        <v/>
      </c>
      <c r="L30" s="167" t="str">
        <f>IF(B30=Ref!$A$8,ABS(SUM(I24:I30)-SUM(J24:J30)),"")</f>
        <v/>
      </c>
    </row>
    <row r="31" spans="1:14" ht="17.45" customHeight="1" x14ac:dyDescent="0.35">
      <c r="A31" s="168">
        <v>13</v>
      </c>
      <c r="B31" s="156" t="str">
        <f t="shared" si="1"/>
        <v>Samstag</v>
      </c>
      <c r="C31" s="157">
        <v>0.35416666666666669</v>
      </c>
      <c r="D31" s="157">
        <v>0.70833333333333337</v>
      </c>
      <c r="E31" s="157">
        <v>2.0833333333333332E-2</v>
      </c>
      <c r="F31" s="158">
        <f t="shared" si="2"/>
        <v>0.33333333333333337</v>
      </c>
      <c r="G31" s="159"/>
      <c r="H31" s="160">
        <f t="shared" si="0"/>
        <v>0</v>
      </c>
      <c r="I31" s="161" t="str">
        <f t="array" ref="I31">IF(AND(F31&gt;H31,OR(AND(OR($B31&lt;&gt;Ref!$A$7,$H$55&gt;0),OR($B31&lt;&gt;Ref!$A$8,$H$56&gt;0)),COUNT(SEARCH(Sonderarbeit,$N31))&gt;=1),ISNONTEXT(C31),C31&lt;&gt;""),F31-H31,"")</f>
        <v/>
      </c>
      <c r="J31" s="162" t="str">
        <f t="array" ref="J31">IF(OR(AND(F31&lt;H31,OR(AND(OR($B31&lt;&gt;Ref!$A$7,$H$55&gt;0),OR($B31&lt;&gt;Ref!$A$8,$H$56&gt;0)),COUNT(SEARCH(Sonderarbeit,$N31))&gt;=1)),C31="Ausgleich"),H31-F31,"")</f>
        <v/>
      </c>
      <c r="K31" s="166" t="str">
        <f>IF(AND(B31=Ref!$A$8,SUM(I25:I31)&lt;SUM(J25:J31)),"-","")</f>
        <v/>
      </c>
      <c r="L31" s="167" t="str">
        <f>IF(B31=Ref!$A$8,ABS(SUM(I25:I31)-SUM(J25:J31)),"")</f>
        <v/>
      </c>
    </row>
    <row r="32" spans="1:14" ht="17.45" customHeight="1" x14ac:dyDescent="0.35">
      <c r="A32" s="168">
        <v>14</v>
      </c>
      <c r="B32" s="156" t="str">
        <f t="shared" si="1"/>
        <v>Sonntag</v>
      </c>
      <c r="C32" s="157">
        <v>0.35416666666666669</v>
      </c>
      <c r="D32" s="157">
        <v>0.70833333333333337</v>
      </c>
      <c r="E32" s="157">
        <v>2.0833333333333332E-2</v>
      </c>
      <c r="F32" s="158">
        <f t="shared" si="2"/>
        <v>0.33333333333333337</v>
      </c>
      <c r="G32" s="159"/>
      <c r="H32" s="160">
        <f t="shared" si="0"/>
        <v>0</v>
      </c>
      <c r="I32" s="161" t="str">
        <f t="array" ref="I32">IF(AND(F32&gt;H32,OR(AND(OR($B32&lt;&gt;Ref!$A$7,$H$55&gt;0),OR($B32&lt;&gt;Ref!$A$8,$H$56&gt;0)),COUNT(SEARCH(Sonderarbeit,$N32))&gt;=1),ISNONTEXT(C32),C32&lt;&gt;""),F32-H32,"")</f>
        <v/>
      </c>
      <c r="J32" s="162" t="str">
        <f t="array" ref="J32">IF(OR(AND(F32&lt;H32,OR(AND(OR($B32&lt;&gt;Ref!$A$7,$H$55&gt;0),OR($B32&lt;&gt;Ref!$A$8,$H$56&gt;0)),COUNT(SEARCH(Sonderarbeit,$N32))&gt;=1)),C32="Ausgleich"),H32-F32,"")</f>
        <v/>
      </c>
      <c r="K32" s="166" t="str">
        <f>IF(AND(B32=Ref!$A$8,SUM(I26:I32)&lt;SUM(J26:J32)),"-","")</f>
        <v/>
      </c>
      <c r="L32" s="167">
        <f>IF(B32=Ref!$A$8,ABS(SUM(I26:I32)-SUM(J26:J32)),"")</f>
        <v>2.083333333333337E-2</v>
      </c>
    </row>
    <row r="33" spans="1:42" ht="17.45" customHeight="1" x14ac:dyDescent="0.35">
      <c r="A33" s="155">
        <v>15</v>
      </c>
      <c r="B33" s="156" t="str">
        <f t="shared" si="1"/>
        <v>Montag</v>
      </c>
      <c r="C33" s="157">
        <v>0.35416666666666669</v>
      </c>
      <c r="D33" s="157">
        <v>0.70833333333333337</v>
      </c>
      <c r="E33" s="157">
        <v>2.0833333333333332E-2</v>
      </c>
      <c r="F33" s="158">
        <f t="shared" si="2"/>
        <v>0.33333333333333337</v>
      </c>
      <c r="G33" s="159"/>
      <c r="H33" s="160">
        <f t="shared" si="0"/>
        <v>0.33333333333333331</v>
      </c>
      <c r="I33" s="161" t="str">
        <f t="array" ref="I33">IF(AND(F33&gt;H33,OR(AND(OR($B33&lt;&gt;Ref!$A$7,$H$55&gt;0),OR($B33&lt;&gt;Ref!$A$8,$H$56&gt;0)),COUNT(SEARCH(Sonderarbeit,$N33))&gt;=1),ISNONTEXT(C33),C33&lt;&gt;""),F33-H33,"")</f>
        <v/>
      </c>
      <c r="J33" s="162" t="str">
        <f t="array" ref="J33">IF(OR(AND(F33&lt;H33,OR(AND(OR($B33&lt;&gt;Ref!$A$7,$H$55&gt;0),OR($B33&lt;&gt;Ref!$A$8,$H$56&gt;0)),COUNT(SEARCH(Sonderarbeit,$N33))&gt;=1)),C33="Ausgleich"),H33-F33,"")</f>
        <v/>
      </c>
      <c r="K33" s="166" t="str">
        <f>IF(AND(B33=Ref!$A$8,SUM(I27:I33)&lt;SUM(J27:J33)),"-","")</f>
        <v/>
      </c>
      <c r="L33" s="167" t="str">
        <f>IF(B33=Ref!$A$8,ABS(SUM(I27:I33)-SUM(J27:J33)),"")</f>
        <v/>
      </c>
    </row>
    <row r="34" spans="1:42" ht="17.45" customHeight="1" x14ac:dyDescent="0.35">
      <c r="A34" s="155">
        <v>16</v>
      </c>
      <c r="B34" s="156" t="str">
        <f t="shared" si="1"/>
        <v>Dienstag</v>
      </c>
      <c r="C34" s="157">
        <v>0.35416666666666669</v>
      </c>
      <c r="D34" s="157">
        <v>0.70833333333333337</v>
      </c>
      <c r="E34" s="157">
        <v>2.0833333333333332E-2</v>
      </c>
      <c r="F34" s="158">
        <f t="shared" si="2"/>
        <v>0.33333333333333337</v>
      </c>
      <c r="G34" s="159"/>
      <c r="H34" s="160">
        <f t="shared" si="0"/>
        <v>0.33333333333333331</v>
      </c>
      <c r="I34" s="161" t="str">
        <f t="array" ref="I34">IF(AND(F34&gt;H34,OR(AND(OR($B34&lt;&gt;Ref!$A$7,$H$55&gt;0),OR($B34&lt;&gt;Ref!$A$8,$H$56&gt;0)),COUNT(SEARCH(Sonderarbeit,$N34))&gt;=1),ISNONTEXT(C34),C34&lt;&gt;""),F34-H34,"")</f>
        <v/>
      </c>
      <c r="J34" s="162" t="str">
        <f t="array" ref="J34">IF(OR(AND(F34&lt;H34,OR(AND(OR($B34&lt;&gt;Ref!$A$7,$H$55&gt;0),OR($B34&lt;&gt;Ref!$A$8,$H$56&gt;0)),COUNT(SEARCH(Sonderarbeit,$N34))&gt;=1)),C34="Ausgleich"),H34-F34,"")</f>
        <v/>
      </c>
      <c r="K34" s="166" t="str">
        <f>IF(AND(B34=Ref!$A$8,SUM(I28:I34)&lt;SUM(J28:J34)),"-","")</f>
        <v/>
      </c>
      <c r="L34" s="167" t="str">
        <f>IF(B34=Ref!$A$8,ABS(SUM(I28:I34)-SUM(J28:J34)),"")</f>
        <v/>
      </c>
    </row>
    <row r="35" spans="1:42" ht="17.45" customHeight="1" x14ac:dyDescent="0.35">
      <c r="A35" s="155">
        <v>17</v>
      </c>
      <c r="B35" s="156" t="str">
        <f t="shared" si="1"/>
        <v>Mittwoch</v>
      </c>
      <c r="C35" s="157">
        <v>0.35416666666666669</v>
      </c>
      <c r="D35" s="157">
        <v>0.70833333333333337</v>
      </c>
      <c r="E35" s="157">
        <v>2.0833333333333332E-2</v>
      </c>
      <c r="F35" s="158">
        <f t="shared" si="2"/>
        <v>0.33333333333333337</v>
      </c>
      <c r="G35" s="159"/>
      <c r="H35" s="160">
        <f t="shared" si="0"/>
        <v>0.33333333333333331</v>
      </c>
      <c r="I35" s="161" t="str">
        <f t="array" ref="I35">IF(AND(F35&gt;H35,OR(AND(OR($B35&lt;&gt;Ref!$A$7,$H$55&gt;0),OR($B35&lt;&gt;Ref!$A$8,$H$56&gt;0)),COUNT(SEARCH(Sonderarbeit,$N35))&gt;=1),ISNONTEXT(C35),C35&lt;&gt;""),F35-H35,"")</f>
        <v/>
      </c>
      <c r="J35" s="162" t="str">
        <f t="array" ref="J35">IF(OR(AND(F35&lt;H35,OR(AND(OR($B35&lt;&gt;Ref!$A$7,$H$55&gt;0),OR($B35&lt;&gt;Ref!$A$8,$H$56&gt;0)),COUNT(SEARCH(Sonderarbeit,$N35))&gt;=1)),C35="Ausgleich"),H35-F35,"")</f>
        <v/>
      </c>
      <c r="K35" s="166" t="str">
        <f>IF(AND(B35=Ref!$A$8,SUM(I29:I35)&lt;SUM(J29:J35)),"-","")</f>
        <v/>
      </c>
      <c r="L35" s="167" t="str">
        <f>IF(B35=Ref!$A$8,ABS(SUM(I29:I35)-SUM(J29:J35)),"")</f>
        <v/>
      </c>
    </row>
    <row r="36" spans="1:42" ht="17.45" customHeight="1" x14ac:dyDescent="0.35">
      <c r="A36" s="155">
        <v>18</v>
      </c>
      <c r="B36" s="156" t="str">
        <f t="shared" si="1"/>
        <v>Donnerstag</v>
      </c>
      <c r="C36" s="157">
        <v>0.35416666666666669</v>
      </c>
      <c r="D36" s="157">
        <v>0.35416666666666669</v>
      </c>
      <c r="E36" s="157">
        <v>0</v>
      </c>
      <c r="F36" s="158">
        <f t="shared" si="2"/>
        <v>0</v>
      </c>
      <c r="G36" s="159"/>
      <c r="H36" s="160">
        <f>IF(AND(ISTEXT(C36),ISERR(SEARCH("ausgleich",C36,1))),,INDEX(H$50:H$57,WEEKDAY(DATE(J$11,MONTH(I$11),A36),2),1,1))</f>
        <v>0.33333333333333331</v>
      </c>
      <c r="I36" s="161" t="str">
        <f t="array" ref="I36">IF(AND(F36&gt;H36,OR(AND(OR($B36&lt;&gt;Ref!$A$7,$H$55&gt;0),OR($B36&lt;&gt;Ref!$A$8,$H$56&gt;0)),COUNT(SEARCH(Sonderarbeit,$N36))&gt;=1),ISNONTEXT(C36),C36&lt;&gt;""),F36-H36,"")</f>
        <v/>
      </c>
      <c r="J36" s="162">
        <f t="array" ref="J36">IF(OR(AND(F36&lt;H36,OR(AND(OR($B36&lt;&gt;Ref!$A$7,$H$55&gt;0),OR($B36&lt;&gt;Ref!$A$8,$H$56&gt;0)),COUNT(SEARCH(Sonderarbeit,$N36))&gt;=1)),C36="Ausgleich"),H36-F36,"")</f>
        <v>0.33333333333333331</v>
      </c>
      <c r="K36" s="166" t="str">
        <f>IF(AND(B36=Ref!$A$8,SUM(I30:I36)&lt;SUM(J30:J36)),"-","")</f>
        <v/>
      </c>
      <c r="L36" s="167" t="str">
        <f>IF(B36=Ref!$A$8,ABS(SUM(I30:I36)-SUM(J30:J36)),"")</f>
        <v/>
      </c>
    </row>
    <row r="37" spans="1:42" ht="17.45" customHeight="1" x14ac:dyDescent="0.35">
      <c r="A37" s="155">
        <v>19</v>
      </c>
      <c r="B37" s="156" t="str">
        <f t="shared" si="1"/>
        <v>Freitag</v>
      </c>
      <c r="C37" s="157">
        <v>0.35416666666666669</v>
      </c>
      <c r="D37" s="157">
        <v>0.70833333333333337</v>
      </c>
      <c r="E37" s="157">
        <v>2.0833333333333332E-2</v>
      </c>
      <c r="F37" s="158">
        <f t="shared" si="2"/>
        <v>0.33333333333333337</v>
      </c>
      <c r="G37" s="159"/>
      <c r="H37" s="160">
        <f t="shared" ref="H37:H48" si="3">IF(AND(ISTEXT(C37),ISERR(SEARCH("ausgleich",C37,1))),,INDEX(H$50:H$57,WEEKDAY(DATE(J$11,MONTH(I$11),A37),2),1,1))</f>
        <v>0.3125</v>
      </c>
      <c r="I37" s="161">
        <f t="array" ref="I37">IF(AND(F37&gt;H37,OR(AND(OR($B37&lt;&gt;Ref!$A$7,$H$55&gt;0),OR($B37&lt;&gt;Ref!$A$8,$H$56&gt;0)),COUNT(SEARCH(Sonderarbeit,$N37))&gt;=1),ISNONTEXT(C37),C37&lt;&gt;""),F37-H37,"")</f>
        <v>2.083333333333337E-2</v>
      </c>
      <c r="J37" s="162" t="str">
        <f t="array" ref="J37">IF(OR(AND(F37&lt;H37,OR(AND(OR($B37&lt;&gt;Ref!$A$7,$H$55&gt;0),OR($B37&lt;&gt;Ref!$A$8,$H$56&gt;0)),COUNT(SEARCH(Sonderarbeit,$N37))&gt;=1)),C37="Ausgleich"),H37-F37,"")</f>
        <v/>
      </c>
      <c r="K37" s="166" t="str">
        <f>IF(AND(B37=Ref!$A$8,SUM(I31:I37)&lt;SUM(J31:J37)),"-","")</f>
        <v/>
      </c>
      <c r="L37" s="167" t="str">
        <f>IF(B37=Ref!$A$8,ABS(SUM(I31:I37)-SUM(J31:J37)),"")</f>
        <v/>
      </c>
      <c r="N37" s="100" t="str">
        <f>IF(Mantelbogen!$C$8="Geschäftsstelle", "Preisträgervorträge", "")</f>
        <v>Preisträgervorträge</v>
      </c>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291"/>
      <c r="AL37" s="291"/>
      <c r="AM37" s="291"/>
      <c r="AN37" s="291"/>
      <c r="AO37" s="291"/>
      <c r="AP37" s="291"/>
    </row>
    <row r="38" spans="1:42" ht="17.45" customHeight="1" x14ac:dyDescent="0.35">
      <c r="A38" s="155">
        <v>20</v>
      </c>
      <c r="B38" s="156" t="str">
        <f t="shared" si="1"/>
        <v>Samstag</v>
      </c>
      <c r="C38" s="157">
        <v>0.35416666666666669</v>
      </c>
      <c r="D38" s="157">
        <v>0.70833333333333337</v>
      </c>
      <c r="E38" s="157">
        <v>2.0833333333333332E-2</v>
      </c>
      <c r="F38" s="158">
        <f t="shared" si="2"/>
        <v>0.33333333333333337</v>
      </c>
      <c r="G38" s="159"/>
      <c r="H38" s="160">
        <f t="shared" si="3"/>
        <v>0</v>
      </c>
      <c r="I38" s="161">
        <f t="array" ref="I38">IF(AND(F38&gt;H38,OR(AND(OR($B38&lt;&gt;Ref!$A$7,$H$55&gt;0),OR($B38&lt;&gt;Ref!$A$8,$H$56&gt;0)),COUNT(SEARCH(Sonderarbeit,$N38))&gt;=1),ISNONTEXT(C38),C38&lt;&gt;""),F38-H38,"")</f>
        <v>0.33333333333333337</v>
      </c>
      <c r="J38" s="162" t="str">
        <f t="array" ref="J38">IF(OR(AND(F38&lt;H38,OR(AND(OR($B38&lt;&gt;Ref!$A$7,$H$55&gt;0),OR($B38&lt;&gt;Ref!$A$8,$H$56&gt;0)),COUNT(SEARCH(Sonderarbeit,$N38))&gt;=1)),C38="Ausgleich"),H38-F38,"")</f>
        <v/>
      </c>
      <c r="K38" s="166" t="str">
        <f>IF(AND(B38=Ref!$A$8,SUM(I32:I38)&lt;SUM(J32:J38)),"-","")</f>
        <v/>
      </c>
      <c r="L38" s="167" t="str">
        <f>IF(B38=Ref!$A$8,ABS(SUM(I32:I38)-SUM(J32:J38)),"")</f>
        <v/>
      </c>
      <c r="N38" s="100" t="str">
        <f>IF(Mantelbogen!$C$8="Geschäftsstelle", "Jahresfeier", "")</f>
        <v>Jahresfeier</v>
      </c>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291"/>
      <c r="AL38" s="291"/>
      <c r="AM38" s="291"/>
      <c r="AN38" s="291"/>
      <c r="AO38" s="291"/>
      <c r="AP38" s="291"/>
    </row>
    <row r="39" spans="1:42" ht="17.45" customHeight="1" x14ac:dyDescent="0.35">
      <c r="A39" s="155">
        <v>21</v>
      </c>
      <c r="B39" s="156" t="str">
        <f t="shared" si="1"/>
        <v>Sonntag</v>
      </c>
      <c r="C39" s="157">
        <v>0.35416666666666669</v>
      </c>
      <c r="D39" s="157">
        <v>0.70833333333333337</v>
      </c>
      <c r="E39" s="157">
        <v>2.0833333333333332E-2</v>
      </c>
      <c r="F39" s="158">
        <f t="shared" si="2"/>
        <v>0.33333333333333337</v>
      </c>
      <c r="G39" s="159"/>
      <c r="H39" s="160">
        <f t="shared" si="3"/>
        <v>0</v>
      </c>
      <c r="I39" s="161" t="str">
        <f t="array" ref="I39">IF(AND(F39&gt;H39,OR(AND(OR($B39&lt;&gt;Ref!$A$7,$H$55&gt;0),OR($B39&lt;&gt;Ref!$A$8,$H$56&gt;0)),COUNT(SEARCH(Sonderarbeit,$N39))&gt;=1),ISNONTEXT(C39),C39&lt;&gt;""),F39-H39,"")</f>
        <v/>
      </c>
      <c r="J39" s="162" t="str">
        <f t="array" ref="J39">IF(OR(AND(F39&lt;H39,OR(AND(OR($B39&lt;&gt;Ref!$A$7,$H$55&gt;0),OR($B39&lt;&gt;Ref!$A$8,$H$56&gt;0)),COUNT(SEARCH(Sonderarbeit,$N39))&gt;=1)),C39="Ausgleich"),H39-F39,"")</f>
        <v/>
      </c>
      <c r="K39" s="166" t="str">
        <f>IF(AND(B39=Ref!$A$8,SUM(I33:I39)&lt;SUM(J33:J39)),"-","")</f>
        <v/>
      </c>
      <c r="L39" s="167">
        <f>IF(B39=Ref!$A$8,ABS(SUM(I33:I39)-SUM(J33:J39)),"")</f>
        <v>2.0833333333333426E-2</v>
      </c>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291"/>
      <c r="AL39" s="291"/>
      <c r="AM39" s="291"/>
      <c r="AN39" s="291"/>
      <c r="AO39" s="291"/>
      <c r="AP39" s="291"/>
    </row>
    <row r="40" spans="1:42" ht="17.45" customHeight="1" x14ac:dyDescent="0.35">
      <c r="A40" s="155">
        <v>22</v>
      </c>
      <c r="B40" s="156" t="str">
        <f t="shared" si="1"/>
        <v>Montag</v>
      </c>
      <c r="C40" s="157">
        <v>0.35416666666666669</v>
      </c>
      <c r="D40" s="157">
        <v>0.70833333333333337</v>
      </c>
      <c r="E40" s="157">
        <v>2.0833333333333332E-2</v>
      </c>
      <c r="F40" s="158">
        <f t="shared" si="2"/>
        <v>0.33333333333333337</v>
      </c>
      <c r="G40" s="159"/>
      <c r="H40" s="160">
        <f t="shared" si="3"/>
        <v>0.33333333333333331</v>
      </c>
      <c r="I40" s="161" t="str">
        <f t="array" ref="I40">IF(AND(F40&gt;H40,OR(AND(OR($B40&lt;&gt;Ref!$A$7,$H$55&gt;0),OR($B40&lt;&gt;Ref!$A$8,$H$56&gt;0)),COUNT(SEARCH(Sonderarbeit,$N40))&gt;=1),ISNONTEXT(C40),C40&lt;&gt;""),F40-H40,"")</f>
        <v/>
      </c>
      <c r="J40" s="162" t="str">
        <f t="array" ref="J40">IF(OR(AND(F40&lt;H40,OR(AND(OR($B40&lt;&gt;Ref!$A$7,$H$55&gt;0),OR($B40&lt;&gt;Ref!$A$8,$H$56&gt;0)),COUNT(SEARCH(Sonderarbeit,$N40))&gt;=1)),C40="Ausgleich"),H40-F40,"")</f>
        <v/>
      </c>
      <c r="K40" s="166" t="str">
        <f>IF(AND(B40=Ref!$A$8,SUM(I34:I40)&lt;SUM(J34:J40)),"-","")</f>
        <v/>
      </c>
      <c r="L40" s="167" t="str">
        <f>IF(B40=Ref!$A$8,ABS(SUM(I34:I40)-SUM(J34:J40)),"")</f>
        <v/>
      </c>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291"/>
      <c r="AL40" s="291"/>
      <c r="AM40" s="291"/>
      <c r="AN40" s="291"/>
      <c r="AO40" s="291"/>
      <c r="AP40" s="291"/>
    </row>
    <row r="41" spans="1:42" ht="17.45" customHeight="1" x14ac:dyDescent="0.35">
      <c r="A41" s="155">
        <v>23</v>
      </c>
      <c r="B41" s="156" t="str">
        <f t="shared" si="1"/>
        <v>Dienstag</v>
      </c>
      <c r="C41" s="157">
        <v>0.35416666666666669</v>
      </c>
      <c r="D41" s="157">
        <v>0.70833333333333337</v>
      </c>
      <c r="E41" s="157">
        <v>2.0833333333333332E-2</v>
      </c>
      <c r="F41" s="158">
        <f t="shared" si="2"/>
        <v>0.33333333333333337</v>
      </c>
      <c r="G41" s="159"/>
      <c r="H41" s="160">
        <f t="shared" si="3"/>
        <v>0.33333333333333331</v>
      </c>
      <c r="I41" s="161" t="str">
        <f t="array" ref="I41">IF(AND(F41&gt;H41,OR(AND(OR($B41&lt;&gt;Ref!$A$7,$H$55&gt;0),OR($B41&lt;&gt;Ref!$A$8,$H$56&gt;0)),COUNT(SEARCH(Sonderarbeit,$N41))&gt;=1),ISNONTEXT(C41),C41&lt;&gt;""),F41-H41,"")</f>
        <v/>
      </c>
      <c r="J41" s="162" t="str">
        <f t="array" ref="J41">IF(OR(AND(F41&lt;H41,OR(AND(OR($B41&lt;&gt;Ref!$A$7,$H$55&gt;0),OR($B41&lt;&gt;Ref!$A$8,$H$56&gt;0)),COUNT(SEARCH(Sonderarbeit,$N41))&gt;=1)),C41="Ausgleich"),H41-F41,"")</f>
        <v/>
      </c>
      <c r="K41" s="166" t="str">
        <f>IF(AND(B41=Ref!$A$8,SUM(I35:I41)&lt;SUM(J35:J41)),"-","")</f>
        <v/>
      </c>
      <c r="L41" s="167" t="str">
        <f>IF(B41=Ref!$A$8,ABS(SUM(I35:I41)-SUM(J35:J41)),"")</f>
        <v/>
      </c>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291"/>
      <c r="AL41" s="291"/>
      <c r="AM41" s="291"/>
      <c r="AN41" s="291"/>
      <c r="AO41" s="291"/>
      <c r="AP41" s="291"/>
    </row>
    <row r="42" spans="1:42" ht="17.45" customHeight="1" x14ac:dyDescent="0.35">
      <c r="A42" s="155">
        <v>24</v>
      </c>
      <c r="B42" s="156" t="str">
        <f t="shared" si="1"/>
        <v>Mittwoch</v>
      </c>
      <c r="C42" s="157">
        <v>0.35416666666666669</v>
      </c>
      <c r="D42" s="157">
        <v>0.70833333333333337</v>
      </c>
      <c r="E42" s="157">
        <v>2.0833333333333332E-2</v>
      </c>
      <c r="F42" s="158">
        <f t="shared" si="2"/>
        <v>0.33333333333333337</v>
      </c>
      <c r="G42" s="159"/>
      <c r="H42" s="160">
        <f t="shared" si="3"/>
        <v>0.33333333333333331</v>
      </c>
      <c r="I42" s="161" t="str">
        <f t="array" ref="I42">IF(AND(F42&gt;H42,OR(AND(OR($B42&lt;&gt;Ref!$A$7,$H$55&gt;0),OR($B42&lt;&gt;Ref!$A$8,$H$56&gt;0)),COUNT(SEARCH(Sonderarbeit,$N42))&gt;=1),ISNONTEXT(C42),C42&lt;&gt;""),F42-H42,"")</f>
        <v/>
      </c>
      <c r="J42" s="162" t="str">
        <f t="array" ref="J42">IF(OR(AND(F42&lt;H42,OR(AND(OR($B42&lt;&gt;Ref!$A$7,$H$55&gt;0),OR($B42&lt;&gt;Ref!$A$8,$H$56&gt;0)),COUNT(SEARCH(Sonderarbeit,$N42))&gt;=1)),C42="Ausgleich"),H42-F42,"")</f>
        <v/>
      </c>
      <c r="K42" s="166" t="str">
        <f>IF(AND(B42=Ref!$A$8,SUM(I36:I42)&lt;SUM(J36:J42)),"-","")</f>
        <v/>
      </c>
      <c r="L42" s="167" t="str">
        <f>IF(B42=Ref!$A$8,ABS(SUM(I36:I42)-SUM(J36:J42)),"")</f>
        <v/>
      </c>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291"/>
      <c r="AL42" s="291"/>
      <c r="AM42" s="291"/>
      <c r="AN42" s="291"/>
      <c r="AO42" s="291"/>
      <c r="AP42" s="291"/>
    </row>
    <row r="43" spans="1:42" ht="17.45" customHeight="1" x14ac:dyDescent="0.35">
      <c r="A43" s="155">
        <v>25</v>
      </c>
      <c r="B43" s="156" t="str">
        <f t="shared" si="1"/>
        <v>Donnerstag</v>
      </c>
      <c r="C43" s="157">
        <v>0.35416666666666669</v>
      </c>
      <c r="D43" s="157">
        <v>0.70833333333333337</v>
      </c>
      <c r="E43" s="157">
        <v>2.0833333333333332E-2</v>
      </c>
      <c r="F43" s="158">
        <f t="shared" si="2"/>
        <v>0.33333333333333337</v>
      </c>
      <c r="G43" s="159"/>
      <c r="H43" s="160">
        <f t="shared" si="3"/>
        <v>0.33333333333333331</v>
      </c>
      <c r="I43" s="161" t="str">
        <f t="array" ref="I43">IF(AND(F43&gt;H43,OR(AND(OR($B43&lt;&gt;Ref!$A$7,$H$55&gt;0),OR($B43&lt;&gt;Ref!$A$8,$H$56&gt;0)),COUNT(SEARCH(Sonderarbeit,$N43))&gt;=1),ISNONTEXT(C43),C43&lt;&gt;""),F43-H43,"")</f>
        <v/>
      </c>
      <c r="J43" s="162" t="str">
        <f t="array" ref="J43">IF(OR(AND(F43&lt;H43,OR(AND(OR($B43&lt;&gt;Ref!$A$7,$H$55&gt;0),OR($B43&lt;&gt;Ref!$A$8,$H$56&gt;0)),COUNT(SEARCH(Sonderarbeit,$N43))&gt;=1)),C43="Ausgleich"),H43-F43,"")</f>
        <v/>
      </c>
      <c r="K43" s="166" t="str">
        <f>IF(AND(B43=Ref!$A$8,SUM(I37:I43)&lt;SUM(J37:J43)),"-","")</f>
        <v/>
      </c>
      <c r="L43" s="167" t="str">
        <f>IF(B43=Ref!$A$8,ABS(SUM(I37:I43)-SUM(J37:J43)),"")</f>
        <v/>
      </c>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row>
    <row r="44" spans="1:42" ht="17.45" customHeight="1" x14ac:dyDescent="0.35">
      <c r="A44" s="155">
        <v>26</v>
      </c>
      <c r="B44" s="156" t="str">
        <f t="shared" si="1"/>
        <v>Freitag</v>
      </c>
      <c r="C44" s="157">
        <v>0.35416666666666669</v>
      </c>
      <c r="D44" s="157">
        <v>0.70833333333333337</v>
      </c>
      <c r="E44" s="157">
        <v>2.0833333333333332E-2</v>
      </c>
      <c r="F44" s="158">
        <f t="shared" si="2"/>
        <v>0.33333333333333337</v>
      </c>
      <c r="G44" s="159"/>
      <c r="H44" s="160">
        <f t="shared" si="3"/>
        <v>0.3125</v>
      </c>
      <c r="I44" s="161">
        <f t="array" ref="I44">IF(AND(F44&gt;H44,OR(AND(OR($B44&lt;&gt;Ref!$A$7,$H$55&gt;0),OR($B44&lt;&gt;Ref!$A$8,$H$56&gt;0)),COUNT(SEARCH(Sonderarbeit,$N44))&gt;=1),ISNONTEXT(C44),C44&lt;&gt;""),F44-H44,"")</f>
        <v>2.083333333333337E-2</v>
      </c>
      <c r="J44" s="162" t="str">
        <f t="array" ref="J44">IF(OR(AND(F44&lt;H44,OR(AND(OR($B44&lt;&gt;Ref!$A$7,$H$55&gt;0),OR($B44&lt;&gt;Ref!$A$8,$H$56&gt;0)),COUNT(SEARCH(Sonderarbeit,$N44))&gt;=1)),C44="Ausgleich"),H44-F44,"")</f>
        <v/>
      </c>
      <c r="K44" s="166" t="str">
        <f>IF(AND(B44=Ref!$A$8,SUM(I38:I44)&lt;SUM(J38:J44)),"-","")</f>
        <v/>
      </c>
      <c r="L44" s="167" t="str">
        <f>IF(B44=Ref!$A$8,ABS(SUM(I38:I44)-SUM(J38:J44)),"")</f>
        <v/>
      </c>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row>
    <row r="45" spans="1:42" ht="17.45" customHeight="1" x14ac:dyDescent="0.35">
      <c r="A45" s="155">
        <v>27</v>
      </c>
      <c r="B45" s="156" t="str">
        <f t="shared" si="1"/>
        <v>Samstag</v>
      </c>
      <c r="C45" s="157">
        <v>0.35416666666666669</v>
      </c>
      <c r="D45" s="157">
        <v>0.70833333333333337</v>
      </c>
      <c r="E45" s="157">
        <v>2.0833333333333332E-2</v>
      </c>
      <c r="F45" s="158">
        <f t="shared" si="2"/>
        <v>0.33333333333333337</v>
      </c>
      <c r="G45" s="159"/>
      <c r="H45" s="160">
        <f t="shared" si="3"/>
        <v>0</v>
      </c>
      <c r="I45" s="161" t="str">
        <f t="array" ref="I45">IF(AND(F45&gt;H45,OR(AND(OR($B45&lt;&gt;Ref!$A$7,$H$55&gt;0),OR($B45&lt;&gt;Ref!$A$8,$H$56&gt;0)),COUNT(SEARCH(Sonderarbeit,$N45))&gt;=1),ISNONTEXT(C45),C45&lt;&gt;""),F45-H45,"")</f>
        <v/>
      </c>
      <c r="J45" s="162" t="str">
        <f t="array" ref="J45">IF(OR(AND(F45&lt;H45,OR(AND(OR($B45&lt;&gt;Ref!$A$7,$H$55&gt;0),OR($B45&lt;&gt;Ref!$A$8,$H$56&gt;0)),COUNT(SEARCH(Sonderarbeit,$N45))&gt;=1)),C45="Ausgleich"),H45-F45,"")</f>
        <v/>
      </c>
      <c r="K45" s="166" t="str">
        <f>IF(AND(B45=Ref!$A$8,SUM(I39:I45)&lt;SUM(J39:J45)),"-","")</f>
        <v/>
      </c>
      <c r="L45" s="167" t="str">
        <f>IF(B45=Ref!$A$8,ABS(SUM(I39:I45)-SUM(J39:J45)),"")</f>
        <v/>
      </c>
      <c r="O45" s="291"/>
      <c r="P45" s="291"/>
      <c r="Q45" s="291"/>
      <c r="R45" s="291"/>
      <c r="S45" s="291"/>
      <c r="T45" s="291"/>
      <c r="U45" s="291"/>
      <c r="V45" s="291"/>
      <c r="W45" s="291"/>
      <c r="X45" s="291"/>
      <c r="Y45" s="291"/>
      <c r="Z45" s="291"/>
      <c r="AA45" s="291"/>
      <c r="AB45" s="291"/>
      <c r="AC45" s="291"/>
      <c r="AD45" s="291"/>
      <c r="AE45" s="291"/>
      <c r="AF45" s="291"/>
      <c r="AG45" s="291"/>
      <c r="AH45" s="291"/>
      <c r="AI45" s="291"/>
      <c r="AJ45" s="291"/>
      <c r="AK45" s="291"/>
      <c r="AL45" s="291"/>
      <c r="AM45" s="291"/>
      <c r="AN45" s="291"/>
      <c r="AO45" s="291"/>
      <c r="AP45" s="291"/>
    </row>
    <row r="46" spans="1:42" ht="17.45" customHeight="1" x14ac:dyDescent="0.35">
      <c r="A46" s="155">
        <v>28</v>
      </c>
      <c r="B46" s="156" t="str">
        <f t="shared" si="1"/>
        <v>Sonntag</v>
      </c>
      <c r="C46" s="157">
        <v>0.35416666666666669</v>
      </c>
      <c r="D46" s="157">
        <v>0.70833333333333337</v>
      </c>
      <c r="E46" s="157">
        <v>2.0833333333333332E-2</v>
      </c>
      <c r="F46" s="158">
        <f t="shared" si="2"/>
        <v>0.33333333333333337</v>
      </c>
      <c r="G46" s="159"/>
      <c r="H46" s="160">
        <f t="shared" si="3"/>
        <v>0</v>
      </c>
      <c r="I46" s="161" t="str">
        <f t="array" ref="I46">IF(AND(F46&gt;H46,OR(AND(OR($B46&lt;&gt;Ref!$A$7,$H$55&gt;0),OR($B46&lt;&gt;Ref!$A$8,$H$56&gt;0)),COUNT(SEARCH(Sonderarbeit,$N46))&gt;=1),ISNONTEXT(C46),C46&lt;&gt;""),F46-H46,"")</f>
        <v/>
      </c>
      <c r="J46" s="162" t="str">
        <f t="array" ref="J46">IF(OR(AND(F46&lt;H46,OR(AND(OR($B46&lt;&gt;Ref!$A$7,$H$55&gt;0),OR($B46&lt;&gt;Ref!$A$8,$H$56&gt;0)),COUNT(SEARCH(Sonderarbeit,$N46))&gt;=1)),C46="Ausgleich"),H46-F46,"")</f>
        <v/>
      </c>
      <c r="K46" s="166" t="str">
        <f>IF(AND(B46=Ref!$A$8,SUM(I40:I46)&lt;SUM(J40:J46)),"-","")</f>
        <v/>
      </c>
      <c r="L46" s="167">
        <f>IF(B46=Ref!$A$8,ABS(SUM(I40:I46)-SUM(J40:J46)),"")</f>
        <v>2.083333333333337E-2</v>
      </c>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row>
    <row r="47" spans="1:42" ht="17.45" customHeight="1" x14ac:dyDescent="0.35">
      <c r="A47" s="155">
        <v>29</v>
      </c>
      <c r="B47" s="156" t="str">
        <f t="shared" si="1"/>
        <v>Montag</v>
      </c>
      <c r="C47" s="157">
        <v>0.35416666666666669</v>
      </c>
      <c r="D47" s="157">
        <v>0.70833333333333337</v>
      </c>
      <c r="E47" s="157">
        <v>2.0833333333333332E-2</v>
      </c>
      <c r="F47" s="158">
        <f t="shared" si="2"/>
        <v>0.33333333333333337</v>
      </c>
      <c r="G47" s="159"/>
      <c r="H47" s="160">
        <f t="shared" si="3"/>
        <v>0.33333333333333331</v>
      </c>
      <c r="I47" s="161" t="str">
        <f t="array" ref="I47">IF(AND(F47&gt;H47,OR(AND(OR($B47&lt;&gt;Ref!$A$7,$H$55&gt;0),OR($B47&lt;&gt;Ref!$A$8,$H$56&gt;0)),COUNT(SEARCH(Sonderarbeit,$N47))&gt;=1),ISNONTEXT(C47),C47&lt;&gt;""),F47-H47,"")</f>
        <v/>
      </c>
      <c r="J47" s="162" t="str">
        <f t="array" ref="J47">IF(OR(AND(F47&lt;H47,OR(AND(OR($B47&lt;&gt;Ref!$A$7,$H$55&gt;0),OR($B47&lt;&gt;Ref!$A$8,$H$56&gt;0)),COUNT(SEARCH(Sonderarbeit,$N47))&gt;=1)),C47="Ausgleich"),H47-F47,"")</f>
        <v/>
      </c>
      <c r="K47" s="166" t="str">
        <f>IF(AND(B47=Ref!$A$8,SUM(I41:I47)&lt;SUM(J41:J47)),"-","")</f>
        <v/>
      </c>
      <c r="L47" s="167" t="str">
        <f>IF(B47=Ref!$A$8,ABS(SUM(I41:I47)-SUM(J41:J47)),"")</f>
        <v/>
      </c>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row>
    <row r="48" spans="1:42" ht="17.45" customHeight="1" x14ac:dyDescent="0.35">
      <c r="A48" s="155">
        <v>30</v>
      </c>
      <c r="B48" s="156" t="str">
        <f t="shared" si="1"/>
        <v>Dienstag</v>
      </c>
      <c r="C48" s="157">
        <v>0.35416666666666669</v>
      </c>
      <c r="D48" s="157">
        <v>0.70833333333333337</v>
      </c>
      <c r="E48" s="157">
        <v>2.0833333333333332E-2</v>
      </c>
      <c r="F48" s="158">
        <f t="shared" si="2"/>
        <v>0.33333333333333337</v>
      </c>
      <c r="G48" s="159"/>
      <c r="H48" s="160">
        <f t="shared" si="3"/>
        <v>0.33333333333333331</v>
      </c>
      <c r="I48" s="161" t="str">
        <f t="array" ref="I48">IF(AND(F48&gt;H48,OR(AND(OR($B48&lt;&gt;Ref!$A$7,$H$55&gt;0),OR($B48&lt;&gt;Ref!$A$8,$H$56&gt;0)),COUNT(SEARCH(Sonderarbeit,$N48))&gt;=1),ISNONTEXT(C48),C48&lt;&gt;""),F48-H48,"")</f>
        <v/>
      </c>
      <c r="J48" s="162" t="str">
        <f t="array" ref="J48">IF(OR(AND(F48&lt;H48,OR(AND(OR($B48&lt;&gt;Ref!$A$7,$H$55&gt;0),OR($B48&lt;&gt;Ref!$A$8,$H$56&gt;0)),COUNT(SEARCH(Sonderarbeit,$N48))&gt;=1)),C48="Ausgleich"),H48-F48,"")</f>
        <v/>
      </c>
      <c r="K48" s="218" t="str">
        <f ca="1">IF(SUM(INDIRECT("I"&amp;ROW()-WEEKDAY(DATE(J$11,MONTH(I$11),A48),3)):I48) &lt; SUM(INDIRECT("j"&amp;ROW()-WEEKDAY(DATE(J$11,MONTH(I$11),A48),3)):J48),"-","")</f>
        <v/>
      </c>
      <c r="L48" s="219">
        <f ca="1">ABS(SUM(INDIRECT("I"&amp;ROW()-WEEKDAY(DATE(J$11,MONTH(I$11),A48),3)):I48)-SUM(INDIRECT("j"&amp;ROW()-WEEKDAY(DATE(J$11,MONTH(I$11),A48))):J48))</f>
        <v>0</v>
      </c>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291"/>
      <c r="AM48" s="291"/>
      <c r="AN48" s="291"/>
      <c r="AO48" s="291"/>
      <c r="AP48" s="291"/>
    </row>
    <row r="49" spans="1:42" s="183" customFormat="1" ht="17.45" customHeight="1" thickBot="1" x14ac:dyDescent="0.25">
      <c r="A49" s="175" t="str">
        <f>Jan!A50</f>
        <v>Sonstige Zeiten laut beigefügter Aufstellung (s. Anlage):</v>
      </c>
      <c r="B49" s="176"/>
      <c r="C49" s="177"/>
      <c r="D49" s="178"/>
      <c r="E49" s="178"/>
      <c r="F49" s="178"/>
      <c r="G49" s="178"/>
      <c r="H49" s="179"/>
      <c r="I49" s="259">
        <v>0</v>
      </c>
      <c r="J49" s="260">
        <v>0</v>
      </c>
      <c r="K49" s="261"/>
      <c r="L49" s="262"/>
      <c r="M49" s="292"/>
      <c r="N49" s="293"/>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291"/>
      <c r="AL49" s="291"/>
      <c r="AM49" s="291"/>
      <c r="AN49" s="291"/>
      <c r="AO49" s="291"/>
      <c r="AP49" s="291"/>
    </row>
    <row r="50" spans="1:42" x14ac:dyDescent="0.2">
      <c r="A50" s="263" t="s">
        <v>3</v>
      </c>
      <c r="B50" s="263"/>
      <c r="C50" s="263"/>
      <c r="D50" s="263"/>
      <c r="H50" s="280">
        <f>Mai!H51</f>
        <v>0.33333333333333331</v>
      </c>
      <c r="I50" s="185">
        <f>SUM(I17:I49)</f>
        <v>1.1666666666666679</v>
      </c>
      <c r="J50" s="186">
        <f>SUM(J17:J49)</f>
        <v>0.33333333333333331</v>
      </c>
      <c r="K50" s="187" t="str">
        <f ca="1">IF(SUMIF(K19:K48,"",L19:L48)&lt;SUMIF(K19:K48,"-",L19:L48),"-","")</f>
        <v/>
      </c>
      <c r="L50" s="188">
        <f ca="1">ABS(SUMIF(K19:K48,"",L19:L48)-SUMIF(K19:K48,"-",L19:L48))</f>
        <v>8.3333333333333537E-2</v>
      </c>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291"/>
      <c r="AL50" s="291"/>
      <c r="AM50" s="291"/>
      <c r="AN50" s="291"/>
      <c r="AO50" s="291"/>
      <c r="AP50" s="291"/>
    </row>
    <row r="51" spans="1:42" ht="13.5" thickBot="1" x14ac:dyDescent="0.25">
      <c r="A51" s="189"/>
      <c r="B51" s="189"/>
      <c r="C51" s="189"/>
      <c r="D51" s="189"/>
      <c r="G51" s="190" t="s">
        <v>12</v>
      </c>
      <c r="H51" s="281">
        <f>Mai!H52</f>
        <v>0.33333333333333331</v>
      </c>
      <c r="I51" s="191"/>
      <c r="J51" s="192"/>
      <c r="K51" s="193"/>
      <c r="L51" s="194"/>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291"/>
      <c r="AL51" s="291"/>
      <c r="AM51" s="291"/>
      <c r="AN51" s="291"/>
      <c r="AO51" s="291"/>
      <c r="AP51" s="291"/>
    </row>
    <row r="52" spans="1:42" x14ac:dyDescent="0.2">
      <c r="A52" s="189"/>
      <c r="B52" s="189"/>
      <c r="C52" s="189"/>
      <c r="D52" s="189"/>
      <c r="G52" s="195"/>
      <c r="H52" s="281">
        <f>Mai!H53</f>
        <v>0.33333333333333331</v>
      </c>
      <c r="I52" s="196">
        <f>IF(I50&gt;J50,I50-J50,0)</f>
        <v>0.83333333333333459</v>
      </c>
      <c r="J52" s="197" t="str">
        <f>IF(J50&gt;I50,J50-I50,"")</f>
        <v/>
      </c>
      <c r="K52" s="204"/>
      <c r="L52" s="204"/>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291"/>
      <c r="AL52" s="291"/>
      <c r="AM52" s="291"/>
      <c r="AN52" s="291"/>
      <c r="AO52" s="291"/>
      <c r="AP52" s="291"/>
    </row>
    <row r="53" spans="1:42" ht="13.5" thickBot="1" x14ac:dyDescent="0.25">
      <c r="A53" s="199" t="s">
        <v>15</v>
      </c>
      <c r="B53" s="199"/>
      <c r="C53" s="199"/>
      <c r="D53" s="199"/>
      <c r="E53" s="200"/>
      <c r="F53" s="200"/>
      <c r="G53" s="190" t="s">
        <v>13</v>
      </c>
      <c r="H53" s="281">
        <f>Mai!H54</f>
        <v>0.33333333333333331</v>
      </c>
      <c r="I53" s="201"/>
      <c r="J53" s="202"/>
      <c r="K53" s="204"/>
      <c r="L53" s="204"/>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291"/>
      <c r="AL53" s="291"/>
      <c r="AM53" s="291"/>
      <c r="AN53" s="291"/>
      <c r="AO53" s="291"/>
      <c r="AP53" s="291"/>
    </row>
    <row r="54" spans="1:42" ht="13.5" thickBot="1" x14ac:dyDescent="0.25">
      <c r="A54" s="203" t="s">
        <v>4</v>
      </c>
      <c r="B54" s="203"/>
      <c r="C54" s="203"/>
      <c r="D54" s="203"/>
      <c r="E54" s="200"/>
      <c r="F54" s="200"/>
      <c r="G54" s="200"/>
      <c r="H54" s="281">
        <f>Mai!H55</f>
        <v>0.3125</v>
      </c>
      <c r="I54" s="200"/>
      <c r="J54" s="200"/>
      <c r="K54" s="204"/>
      <c r="L54" s="204"/>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row>
    <row r="55" spans="1:42" ht="13.35" customHeight="1" x14ac:dyDescent="0.2">
      <c r="A55" s="189"/>
      <c r="B55" s="189"/>
      <c r="C55" s="189"/>
      <c r="D55" s="189"/>
      <c r="E55" s="271" t="str">
        <f>Jan!E56</f>
        <v xml:space="preserve"> </v>
      </c>
      <c r="F55" s="206"/>
      <c r="G55" s="207" t="str">
        <f>IF(E55=" ", " ", IF(Mantelbogen!D26=I11,Mantelbogen!C29,Mai!G58))</f>
        <v xml:space="preserve"> </v>
      </c>
      <c r="H55" s="282">
        <v>0</v>
      </c>
      <c r="I55" s="223" t="s">
        <v>144</v>
      </c>
      <c r="J55" s="224"/>
      <c r="K55" s="204"/>
      <c r="L55" s="204"/>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291"/>
      <c r="AL55" s="291"/>
      <c r="AM55" s="291"/>
      <c r="AN55" s="291"/>
      <c r="AO55" s="291"/>
      <c r="AP55" s="291"/>
    </row>
    <row r="56" spans="1:42" ht="13.5" thickBot="1" x14ac:dyDescent="0.25">
      <c r="A56" s="189"/>
      <c r="B56" s="189"/>
      <c r="C56" s="189"/>
      <c r="D56" s="189"/>
      <c r="E56" s="271" t="str">
        <f>Jan!E57</f>
        <v xml:space="preserve"> </v>
      </c>
      <c r="F56" s="207"/>
      <c r="G56" s="207" t="str">
        <f>IF(E55=" ", " ", -COUNTIF(C19:C48, "Urlaub*" ))</f>
        <v xml:space="preserve"> </v>
      </c>
      <c r="H56" s="283">
        <v>0</v>
      </c>
      <c r="I56" s="225"/>
      <c r="J56" s="226"/>
      <c r="K56" s="204"/>
      <c r="L56" s="204"/>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row>
    <row r="57" spans="1:42" ht="24.6" customHeight="1" thickBot="1" x14ac:dyDescent="0.25">
      <c r="A57" s="199" t="s">
        <v>10</v>
      </c>
      <c r="B57" s="199"/>
      <c r="C57" s="199"/>
      <c r="D57" s="199"/>
      <c r="E57" s="276" t="str">
        <f>Jan!E58</f>
        <v xml:space="preserve"> </v>
      </c>
      <c r="F57" s="277"/>
      <c r="G57" s="211" t="str">
        <f>IF(E55=" ", " ", IF(Mantelbogen!C29 &gt; 0.0001, G55+G56, 0))</f>
        <v xml:space="preserve"> </v>
      </c>
      <c r="H57" s="287">
        <f>SUM(H50:H56)</f>
        <v>1.6458333333333333</v>
      </c>
      <c r="I57" s="227"/>
      <c r="J57" s="228"/>
      <c r="K57" s="98"/>
      <c r="L57" s="212" t="str">
        <f>Mantelbogen!D50</f>
        <v>15.12.2025  HAdW / G. Wolff</v>
      </c>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291"/>
      <c r="AL57" s="291"/>
      <c r="AM57" s="291"/>
      <c r="AN57" s="291"/>
      <c r="AO57" s="291"/>
      <c r="AP57" s="291"/>
    </row>
    <row r="59" spans="1:42" x14ac:dyDescent="0.2">
      <c r="G59" s="214"/>
      <c r="H59" s="214"/>
      <c r="I59" s="214"/>
      <c r="J59" s="207"/>
    </row>
    <row r="60" spans="1:42" x14ac:dyDescent="0.2">
      <c r="G60" s="207"/>
      <c r="H60" s="207"/>
      <c r="I60" s="207"/>
      <c r="J60" s="207"/>
    </row>
    <row r="61" spans="1:42" x14ac:dyDescent="0.2">
      <c r="G61" s="207"/>
      <c r="H61" s="207"/>
    </row>
  </sheetData>
  <sheetProtection algorithmName="SHA-512" hashValue="QfHQDhgWnTDLUbEwMGVAUnKOBg+k/l16hRbvPVuaHp08ctLY0IBFtaGKX7QLeMoSlKjI7XgA6kLAOpELpK/KYQ==" saltValue="+ini20u60KnDCxzV4kvu0w==" spinCount="100000" sheet="1" objects="1" scenarios="1"/>
  <mergeCells count="62">
    <mergeCell ref="K15:L16"/>
    <mergeCell ref="H15:H18"/>
    <mergeCell ref="K50:K51"/>
    <mergeCell ref="L50:L51"/>
    <mergeCell ref="K17:L18"/>
    <mergeCell ref="J50:J51"/>
    <mergeCell ref="I15:J15"/>
    <mergeCell ref="I17:I18"/>
    <mergeCell ref="J17:J18"/>
    <mergeCell ref="I50:I51"/>
    <mergeCell ref="A53:D53"/>
    <mergeCell ref="G59:I59"/>
    <mergeCell ref="A54:D54"/>
    <mergeCell ref="A55:D56"/>
    <mergeCell ref="I55:J57"/>
    <mergeCell ref="A57:D57"/>
    <mergeCell ref="J52:J53"/>
    <mergeCell ref="I52:I53"/>
    <mergeCell ref="A51:D52"/>
    <mergeCell ref="F46:G46"/>
    <mergeCell ref="F47:G47"/>
    <mergeCell ref="F48:G48"/>
    <mergeCell ref="A50:D50"/>
    <mergeCell ref="F45:G45"/>
    <mergeCell ref="F42:G42"/>
    <mergeCell ref="F43:G43"/>
    <mergeCell ref="F34:G34"/>
    <mergeCell ref="F35:G35"/>
    <mergeCell ref="F36:G36"/>
    <mergeCell ref="F37:G37"/>
    <mergeCell ref="F38:G38"/>
    <mergeCell ref="F44:G44"/>
    <mergeCell ref="F33:G33"/>
    <mergeCell ref="F22:G22"/>
    <mergeCell ref="F23:G23"/>
    <mergeCell ref="F24:G24"/>
    <mergeCell ref="F25:G25"/>
    <mergeCell ref="F26:G26"/>
    <mergeCell ref="F27:G27"/>
    <mergeCell ref="F28:G28"/>
    <mergeCell ref="F29:G29"/>
    <mergeCell ref="F30:G30"/>
    <mergeCell ref="F31:G31"/>
    <mergeCell ref="F32:G32"/>
    <mergeCell ref="F39:G39"/>
    <mergeCell ref="F40:G40"/>
    <mergeCell ref="F41:G41"/>
    <mergeCell ref="F20:G20"/>
    <mergeCell ref="F21:G21"/>
    <mergeCell ref="A15:A18"/>
    <mergeCell ref="B15:B18"/>
    <mergeCell ref="C15:C18"/>
    <mergeCell ref="D15:D18"/>
    <mergeCell ref="E15:E18"/>
    <mergeCell ref="F15:G18"/>
    <mergeCell ref="F19:G19"/>
    <mergeCell ref="G1:J7"/>
    <mergeCell ref="A11:B11"/>
    <mergeCell ref="A13:B13"/>
    <mergeCell ref="A1:F2"/>
    <mergeCell ref="A3:F3"/>
    <mergeCell ref="A4:F6"/>
  </mergeCells>
  <phoneticPr fontId="0" type="noConversion"/>
  <conditionalFormatting sqref="A19:A48 C19:L48">
    <cfRule type="expression" dxfId="40" priority="1">
      <formula>COUNT(SEARCH(Sonderarbeit,$N19))&gt;=1</formula>
    </cfRule>
  </conditionalFormatting>
  <conditionalFormatting sqref="A19:L48">
    <cfRule type="expression" dxfId="32" priority="5">
      <formula>AND(ISTEXT($C19),$C19&lt;&gt;"Kinderkrankentag",$C19&lt;&gt;"Urlaub",$C19&lt;&gt;"Krank",$C19&lt;&gt;"Ausgleich")</formula>
    </cfRule>
  </conditionalFormatting>
  <conditionalFormatting sqref="C19:C48">
    <cfRule type="expression" dxfId="39" priority="7">
      <formula>ISTEXT($C19)</formula>
    </cfRule>
  </conditionalFormatting>
  <conditionalFormatting sqref="D19:H48">
    <cfRule type="expression" dxfId="37" priority="4">
      <formula>AND(ISTEXT($C19),OR($C19="Kinderkrankentag",$C19="Urlaub",$C19="Krank",$C19="Ausgleich"))</formula>
    </cfRule>
  </conditionalFormatting>
  <conditionalFormatting sqref="D19:J48">
    <cfRule type="expression" dxfId="33" priority="3">
      <formula>AND(ISTEXT($C19),$C19&lt;&gt;"Kinderkrankentag",$C19&lt;&gt;"Urlaub",$C19&lt;&gt;"Krank",$C19&lt;&gt;"Ausgleich")</formula>
    </cfRule>
  </conditionalFormatting>
  <conditionalFormatting sqref="F19:F48">
    <cfRule type="expression" dxfId="35" priority="11">
      <formula>AND(ISNONTEXT($C19),$F19 &gt; 0.666667)</formula>
    </cfRule>
  </conditionalFormatting>
  <dataValidations count="1">
    <dataValidation type="custom" errorStyle="warning" allowBlank="1" showErrorMessage="1" errorTitle="Samstagsarbeit" error="Tragen Sie hier bitte nur etwas ein, wenn Sie tatsächlich REGELMÄßIG und angeordnet Samstag arbeiten. Ansonsten tragen Sie bitte am entsprechenden Tag in Spalte N „Samstagsarbeit“ ein und der entsprechende Tag wird verfügbar." promptTitle="Samstagsarbeit" prompt="Tragen Sie hier bitte nur etwas ein, wenn Sie tatsächlich REGELMÄßIG und angeordnet Samstag arbeiten. Ansonsten tragen Sie bitte am entsprechenden Tag in Spalte N „Samstagsarbeit“ ein und der entsprechende Tag wird verfügbar." sqref="H55" xr:uid="{2026F817-894B-4122-A7BD-318410280E11}">
      <formula1>$A$4="Arbeitszeitblatt"</formula1>
    </dataValidation>
  </dataValidations>
  <printOptions horizontalCentered="1" verticalCentered="1"/>
  <pageMargins left="1.0236220472440944" right="0.23622047244094491" top="0.15748031496062992" bottom="0.19685039370078741" header="0.15748031496062992" footer="0.15748031496062992"/>
  <pageSetup paperSize="9" scale="82" orientation="portrait" horizontalDpi="1200" verticalDpi="1200"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 id="{79079915-83DE-4203-9588-508E44B31579}">
            <xm:f>OR(AND($B19=Ref!$A$7,$H$55=0), AND($B19=Ref!$A$8,$H$56=0), NOT( ISERROR(FIND("feiertag",LOWER($C19)) ) ) )</xm:f>
            <x14:dxf>
              <fill>
                <patternFill patternType="solid">
                  <bgColor theme="4" tint="0.79998168889431442"/>
                </patternFill>
              </fill>
            </x14:dxf>
          </x14:cfRule>
          <xm:sqref>A19:L48</xm:sqref>
        </x14:conditionalFormatting>
        <x14:conditionalFormatting xmlns:xm="http://schemas.microsoft.com/office/excel/2006/main">
          <x14:cfRule type="expression" priority="10" id="{25DCF89B-9421-403F-8614-D1137CA20DE0}">
            <xm:f>AND($B19=Ref!$A$8, $H$56&gt;0.00001)</xm:f>
            <x14:dxf>
              <font>
                <b val="0"/>
                <i val="0"/>
                <color theme="1"/>
              </font>
            </x14:dxf>
          </x14:cfRule>
          <xm:sqref>C19:C48</xm:sqref>
        </x14:conditionalFormatting>
        <x14:conditionalFormatting xmlns:xm="http://schemas.microsoft.com/office/excel/2006/main">
          <x14:cfRule type="expression" priority="8" id="{8A931047-77E3-4279-A5C4-73B4B547842F}">
            <xm:f>OR(AND($B19=Ref!$A$7, $H$55&lt;0.00001),AND($B19=Ref!$A$8, $H$56&lt;0.00001))</xm:f>
            <x14:dxf>
              <font>
                <color theme="4" tint="0.79998168889431442"/>
              </font>
              <fill>
                <patternFill>
                  <bgColor theme="4" tint="0.79998168889431442"/>
                </patternFill>
              </fill>
            </x14:dxf>
          </x14:cfRule>
          <xm:sqref>C19:J48</xm:sqref>
        </x14:conditionalFormatting>
        <x14:conditionalFormatting xmlns:xm="http://schemas.microsoft.com/office/excel/2006/main">
          <x14:cfRule type="expression" priority="2" id="{9D358A28-2473-4E8B-A97F-B7209DFF1118}">
            <xm:f>AND(OR(AND($F19 &gt; 0.250001, $E19 &lt; 0.020833332), AND($F19 &gt; 0.375, $E19 &lt; 0.03124999)  ),OR(AND($B4&lt;&gt;Ref!$A$7, $B4&lt;&gt;Ref!$A$8),COUNT(SEARCH(Sonderarbeit,$N19))&gt;=1),ISNUMBER($C19))</xm:f>
            <x14:dxf>
              <fill>
                <patternFill>
                  <bgColor rgb="FFFF0000"/>
                </patternFill>
              </fill>
            </x14:dxf>
          </x14:cfRule>
          <xm:sqref>E19:E48</xm:sqref>
        </x14:conditionalFormatting>
        <x14:conditionalFormatting xmlns:xm="http://schemas.microsoft.com/office/excel/2006/main">
          <x14:cfRule type="expression" priority="9" id="{6AD013BE-67B0-47C6-8E50-CEEBFB06F71B}">
            <xm:f>AND($B19=Ref!$A$7, $H$55&gt;0.00001)</xm:f>
            <x14:dxf>
              <font>
                <b val="0"/>
                <i val="0"/>
                <color theme="1"/>
              </font>
            </x14:dxf>
          </x14:cfRule>
          <xm:sqref>F19:G48</xm:sqref>
        </x14:conditionalFormatting>
      </x14:conditionalFormattings>
    </ext>
    <ext xmlns:x14="http://schemas.microsoft.com/office/spreadsheetml/2009/9/main" uri="{CCE6A557-97BC-4b89-ADB6-D9C93CAAB3DF}">
      <x14:dataValidations xmlns:xm="http://schemas.microsoft.com/office/excel/2006/main" count="1">
        <x14:dataValidation type="custom" errorStyle="information" allowBlank="1" showInputMessage="1" showErrorMessage="1" errorTitle="Samstagsarbeit" error="Tragen Sie hier bitte nur die tasächlich angefallene Arbeit ein. Tragen Sie ggf. anfallende Zuschläge auf ein separates Tabellenblatt ein und übertragen diese in das Kästchen I49." xr:uid="{C352AA0D-BF59-45D4-9DB5-6CC5FE9C3CEA}">
          <x14:formula1>
            <xm:f>NOT(OFFSET(C19,0,2-COLUMN(C19))=Ref!$A$7)</xm:f>
          </x14:formula1>
          <xm:sqref>C19:E48</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pageSetUpPr fitToPage="1"/>
  </sheetPr>
  <dimension ref="A1:N60"/>
  <sheetViews>
    <sheetView zoomScaleNormal="100" workbookViewId="0">
      <selection sqref="A1:F2"/>
    </sheetView>
  </sheetViews>
  <sheetFormatPr defaultColWidth="11.5703125" defaultRowHeight="12.75" x14ac:dyDescent="0.2"/>
  <cols>
    <col min="1" max="1" width="5.5703125" style="125" customWidth="1"/>
    <col min="2" max="2" width="9.85546875" style="102" bestFit="1" customWidth="1"/>
    <col min="3" max="3" width="15.7109375" style="102" bestFit="1" customWidth="1"/>
    <col min="4" max="4" width="13.7109375" style="102" bestFit="1" customWidth="1"/>
    <col min="5" max="5" width="11.28515625" style="98" customWidth="1"/>
    <col min="6" max="6" width="7.85546875" style="98" customWidth="1"/>
    <col min="7" max="7" width="3.5703125" style="98" customWidth="1"/>
    <col min="8" max="8" width="14.140625" style="98" bestFit="1" customWidth="1"/>
    <col min="9" max="9" width="11" style="98" bestFit="1" customWidth="1"/>
    <col min="10" max="10" width="12.140625" style="98" bestFit="1" customWidth="1"/>
    <col min="11" max="11" width="2.85546875" style="98" customWidth="1"/>
    <col min="12" max="12" width="8.85546875" style="98" customWidth="1"/>
    <col min="13" max="13" width="16.42578125" style="99" customWidth="1"/>
    <col min="14" max="14" width="19.42578125" style="100" bestFit="1" customWidth="1"/>
    <col min="15" max="16384" width="11.5703125" style="98"/>
  </cols>
  <sheetData>
    <row r="1" spans="1:14" ht="15" customHeight="1" x14ac:dyDescent="0.2">
      <c r="A1" s="215" t="s">
        <v>48</v>
      </c>
      <c r="B1" s="215"/>
      <c r="C1" s="215"/>
      <c r="D1" s="215"/>
      <c r="E1" s="215"/>
      <c r="F1" s="215"/>
      <c r="G1" s="97" t="s">
        <v>9</v>
      </c>
      <c r="H1" s="97"/>
      <c r="I1" s="97"/>
      <c r="J1" s="97"/>
    </row>
    <row r="2" spans="1:14" ht="15" customHeight="1" x14ac:dyDescent="0.2">
      <c r="A2" s="215"/>
      <c r="B2" s="215"/>
      <c r="C2" s="215"/>
      <c r="D2" s="215"/>
      <c r="E2" s="215"/>
      <c r="F2" s="215"/>
      <c r="G2" s="97"/>
      <c r="H2" s="97"/>
      <c r="I2" s="97"/>
      <c r="J2" s="97"/>
    </row>
    <row r="3" spans="1:14" x14ac:dyDescent="0.2">
      <c r="A3" s="216" t="s">
        <v>11</v>
      </c>
      <c r="B3" s="216"/>
      <c r="C3" s="216"/>
      <c r="D3" s="216"/>
      <c r="E3" s="216"/>
      <c r="F3" s="216"/>
      <c r="G3" s="97"/>
      <c r="H3" s="97"/>
      <c r="I3" s="97"/>
      <c r="J3" s="97"/>
    </row>
    <row r="4" spans="1:14" ht="13.35" customHeight="1" x14ac:dyDescent="0.2">
      <c r="A4" s="217" t="s">
        <v>5</v>
      </c>
      <c r="B4" s="217"/>
      <c r="C4" s="217"/>
      <c r="D4" s="217"/>
      <c r="E4" s="217"/>
      <c r="F4" s="217"/>
      <c r="G4" s="97"/>
      <c r="H4" s="97"/>
      <c r="I4" s="97"/>
      <c r="J4" s="97"/>
    </row>
    <row r="5" spans="1:14" ht="6" customHeight="1" x14ac:dyDescent="0.2">
      <c r="A5" s="217"/>
      <c r="B5" s="217"/>
      <c r="C5" s="217"/>
      <c r="D5" s="217"/>
      <c r="E5" s="217"/>
      <c r="F5" s="217"/>
      <c r="G5" s="97"/>
      <c r="H5" s="97"/>
      <c r="I5" s="97"/>
      <c r="J5" s="97"/>
    </row>
    <row r="6" spans="1:14" ht="13.35" customHeight="1" x14ac:dyDescent="0.2">
      <c r="A6" s="217"/>
      <c r="B6" s="217"/>
      <c r="C6" s="217"/>
      <c r="D6" s="217"/>
      <c r="E6" s="217"/>
      <c r="F6" s="217"/>
      <c r="G6" s="97"/>
      <c r="H6" s="97"/>
      <c r="I6" s="97"/>
      <c r="J6" s="97"/>
    </row>
    <row r="7" spans="1:14" ht="13.35" customHeight="1" x14ac:dyDescent="0.2">
      <c r="A7" s="102"/>
      <c r="B7" s="101"/>
      <c r="C7" s="101"/>
      <c r="D7" s="101"/>
      <c r="E7" s="101"/>
      <c r="F7" s="101"/>
      <c r="G7" s="97"/>
      <c r="H7" s="97"/>
      <c r="I7" s="97"/>
      <c r="J7" s="97"/>
    </row>
    <row r="8" spans="1:14" ht="6" customHeight="1" thickBot="1" x14ac:dyDescent="0.25">
      <c r="A8" s="103"/>
      <c r="B8" s="104"/>
      <c r="C8" s="104"/>
      <c r="D8" s="104"/>
      <c r="E8" s="105"/>
      <c r="F8" s="105"/>
      <c r="G8" s="105"/>
      <c r="H8" s="105"/>
      <c r="I8" s="106"/>
      <c r="J8" s="106"/>
      <c r="K8" s="107"/>
      <c r="L8" s="108"/>
    </row>
    <row r="9" spans="1:14" ht="6" customHeight="1" x14ac:dyDescent="0.2">
      <c r="A9" s="109"/>
      <c r="B9" s="110"/>
      <c r="C9" s="110"/>
      <c r="D9" s="110"/>
      <c r="E9" s="111"/>
      <c r="F9" s="111"/>
      <c r="G9" s="111"/>
      <c r="H9" s="111"/>
      <c r="I9" s="112"/>
      <c r="J9" s="112"/>
      <c r="K9" s="113"/>
      <c r="L9" s="114"/>
    </row>
    <row r="10" spans="1:14" x14ac:dyDescent="0.2">
      <c r="A10" s="109"/>
      <c r="B10" s="110"/>
      <c r="C10" s="110"/>
      <c r="D10" s="110"/>
      <c r="E10" s="111"/>
      <c r="F10" s="111"/>
      <c r="G10" s="111"/>
      <c r="I10" s="112"/>
      <c r="J10" s="112"/>
      <c r="K10" s="113"/>
      <c r="L10" s="114"/>
    </row>
    <row r="11" spans="1:14" x14ac:dyDescent="0.2">
      <c r="A11" s="115" t="s">
        <v>6</v>
      </c>
      <c r="B11" s="115"/>
      <c r="C11" s="116" t="str">
        <f>Jun!C11</f>
        <v>ATHENE, Pallas</v>
      </c>
      <c r="D11" s="117"/>
      <c r="E11" s="118"/>
      <c r="F11" s="119"/>
      <c r="G11" s="119" t="s">
        <v>8</v>
      </c>
      <c r="H11" s="120"/>
      <c r="I11" s="121">
        <f>DATE(J11,7,1)</f>
        <v>46204</v>
      </c>
      <c r="J11" s="122">
        <f>Jan!J11</f>
        <v>2026</v>
      </c>
      <c r="K11" s="123"/>
      <c r="L11" s="124"/>
    </row>
    <row r="12" spans="1:14" x14ac:dyDescent="0.2">
      <c r="B12" s="114"/>
      <c r="C12" s="126"/>
      <c r="D12" s="127"/>
      <c r="E12" s="119"/>
      <c r="F12" s="119"/>
      <c r="G12" s="111"/>
      <c r="I12" s="112"/>
      <c r="J12" s="128"/>
      <c r="K12" s="113"/>
      <c r="L12" s="114"/>
    </row>
    <row r="13" spans="1:14" x14ac:dyDescent="0.2">
      <c r="A13" s="115" t="s">
        <v>7</v>
      </c>
      <c r="B13" s="115"/>
      <c r="C13" s="129" t="str">
        <f>Jun!C13</f>
        <v>Geschäftsstelle</v>
      </c>
      <c r="D13" s="130"/>
      <c r="E13" s="118"/>
      <c r="F13" s="131"/>
      <c r="G13" s="131"/>
      <c r="H13" s="120"/>
      <c r="I13" s="117"/>
      <c r="J13" s="118"/>
      <c r="K13" s="123"/>
      <c r="L13" s="124"/>
    </row>
    <row r="14" spans="1:14" ht="13.5" thickBot="1" x14ac:dyDescent="0.25">
      <c r="K14" s="113"/>
      <c r="L14" s="114"/>
    </row>
    <row r="15" spans="1:14" ht="13.35" customHeight="1" x14ac:dyDescent="0.2">
      <c r="A15" s="132"/>
      <c r="B15" s="132" t="s">
        <v>14</v>
      </c>
      <c r="C15" s="132" t="s">
        <v>18</v>
      </c>
      <c r="D15" s="132" t="s">
        <v>145</v>
      </c>
      <c r="E15" s="132" t="s">
        <v>16</v>
      </c>
      <c r="F15" s="133" t="s">
        <v>42</v>
      </c>
      <c r="G15" s="133"/>
      <c r="H15" s="134" t="s">
        <v>43</v>
      </c>
      <c r="I15" s="135" t="s">
        <v>0</v>
      </c>
      <c r="J15" s="136"/>
      <c r="K15" s="137" t="s">
        <v>41</v>
      </c>
      <c r="L15" s="138"/>
      <c r="M15" s="139"/>
      <c r="N15" s="140"/>
    </row>
    <row r="16" spans="1:14" ht="13.5" thickBot="1" x14ac:dyDescent="0.25">
      <c r="A16" s="132"/>
      <c r="B16" s="132"/>
      <c r="C16" s="132"/>
      <c r="D16" s="132"/>
      <c r="E16" s="132"/>
      <c r="F16" s="133"/>
      <c r="G16" s="133"/>
      <c r="H16" s="141"/>
      <c r="I16" s="142" t="s">
        <v>1</v>
      </c>
      <c r="J16" s="143" t="s">
        <v>2</v>
      </c>
      <c r="K16" s="144"/>
      <c r="L16" s="145"/>
      <c r="M16" s="139"/>
      <c r="N16" s="146"/>
    </row>
    <row r="17" spans="1:14" ht="13.5" thickBot="1" x14ac:dyDescent="0.25">
      <c r="A17" s="132"/>
      <c r="B17" s="132"/>
      <c r="C17" s="132"/>
      <c r="D17" s="132"/>
      <c r="E17" s="132"/>
      <c r="F17" s="133"/>
      <c r="G17" s="133"/>
      <c r="H17" s="141"/>
      <c r="I17" s="147">
        <f>IF(Mantelbogen!D26=I11,Mantelbogen!C28,Jun!I52)</f>
        <v>0.83333333333333459</v>
      </c>
      <c r="J17" s="148" t="str">
        <f>IF(Mantelbogen!D26=I11,Mantelbogen!D28,Jun!J52)</f>
        <v/>
      </c>
      <c r="K17" s="149" t="str">
        <f>IF(I17/H58 &gt; 1, I17/H58, " " )</f>
        <v xml:space="preserve"> </v>
      </c>
      <c r="L17" s="150"/>
      <c r="N17" s="151"/>
    </row>
    <row r="18" spans="1:14" ht="13.5" thickBot="1" x14ac:dyDescent="0.25">
      <c r="A18" s="132"/>
      <c r="B18" s="132"/>
      <c r="C18" s="132"/>
      <c r="D18" s="132"/>
      <c r="E18" s="132"/>
      <c r="F18" s="133"/>
      <c r="G18" s="133"/>
      <c r="H18" s="152"/>
      <c r="I18" s="147"/>
      <c r="J18" s="148"/>
      <c r="K18" s="153"/>
      <c r="L18" s="154"/>
      <c r="N18" s="151"/>
    </row>
    <row r="19" spans="1:14" ht="17.45" customHeight="1" x14ac:dyDescent="0.35">
      <c r="A19" s="155">
        <v>1</v>
      </c>
      <c r="B19" s="156" t="str">
        <f>TEXT(DATE(J$11,MONTH(I$11),A19),Textcode)</f>
        <v>Mittwoch</v>
      </c>
      <c r="C19" s="157">
        <v>0.35416666666666669</v>
      </c>
      <c r="D19" s="157">
        <v>0.70833333333333337</v>
      </c>
      <c r="E19" s="157">
        <v>2.0833333333333332E-2</v>
      </c>
      <c r="F19" s="158">
        <f>IF(ISTEXT(C19),,D19-C19-E19)</f>
        <v>0.33333333333333337</v>
      </c>
      <c r="G19" s="159"/>
      <c r="H19" s="160">
        <f t="shared" ref="H19:H23" si="0">IF(AND(ISTEXT(C19),ISERR(SEARCH("ausgleich",C19,1))),,INDEX(H$51:H$58,WEEKDAY(DATE(J$11,MONTH(I$11),A19),2),1,1))</f>
        <v>0.33333333333333331</v>
      </c>
      <c r="I19" s="161" t="str" cm="1">
        <f t="array" ref="I19">IF(AND(F19&gt;H19,OR(AND(OR($B19&lt;&gt;Ref!$A$7,$H$56&gt;0),OR($B19&lt;&gt;Ref!$A$8,$H$57&gt;0)),COUNT(SEARCH(Sonderarbeit,$N19))&gt;=1),ISNONTEXT(C19),C19&lt;&gt;""),F19-H19,"")</f>
        <v/>
      </c>
      <c r="J19" s="162" t="str" cm="1">
        <f t="array" ref="J19">IF(OR(AND(F19&lt;H19,OR(AND(OR($B19&lt;&gt;Ref!$A$7,$H$56&gt;0),OR($B19&lt;&gt;Ref!$A$8,$H$57&gt;0)),COUNT(SEARCH(Sonderarbeit,$N19))&gt;=1)),C19="Ausgleich"),H19-F19,"")</f>
        <v/>
      </c>
      <c r="K19" s="163" t="str">
        <f>IF(AND(B19=Ref!$A$8,SUM(I19:I19)&lt;SUM(J19:J19)),"-","")</f>
        <v/>
      </c>
      <c r="L19" s="164" t="str">
        <f>IF(B19=Ref!$A$8,ABS(SUM(I19:I19)-SUM(J19:J19)),"")</f>
        <v/>
      </c>
      <c r="N19" s="165"/>
    </row>
    <row r="20" spans="1:14" ht="17.45" customHeight="1" x14ac:dyDescent="0.35">
      <c r="A20" s="155">
        <v>2</v>
      </c>
      <c r="B20" s="156" t="str">
        <f t="shared" ref="B20:B49" si="1">TEXT(DATE(J$11,MONTH(I$11),A20),Textcode)</f>
        <v>Donnerstag</v>
      </c>
      <c r="C20" s="157">
        <v>0.35416666666666669</v>
      </c>
      <c r="D20" s="157">
        <v>0.70833333333333337</v>
      </c>
      <c r="E20" s="157">
        <v>2.0833333333333332E-2</v>
      </c>
      <c r="F20" s="158">
        <f>IF(ISTEXT(C20),,D20-C20-E20)</f>
        <v>0.33333333333333337</v>
      </c>
      <c r="G20" s="159"/>
      <c r="H20" s="160">
        <f t="shared" si="0"/>
        <v>0.33333333333333331</v>
      </c>
      <c r="I20" s="161" t="str" cm="1">
        <f t="array" ref="I20">IF(AND(F20&gt;H20,OR(AND(OR($B20&lt;&gt;Ref!$A$7,$H$56&gt;0),OR($B20&lt;&gt;Ref!$A$8,$H$57&gt;0)),COUNT(SEARCH(Sonderarbeit,$N20))&gt;=1),ISNONTEXT(C20),C20&lt;&gt;""),F20-H20,"")</f>
        <v/>
      </c>
      <c r="J20" s="162" t="str" cm="1">
        <f t="array" ref="J20">IF(OR(AND(F20&lt;H20,OR(AND(OR($B20&lt;&gt;Ref!$A$7,$H$56&gt;0),OR($B20&lt;&gt;Ref!$A$8,$H$57&gt;0)),COUNT(SEARCH(Sonderarbeit,$N20))&gt;=1)),C20="Ausgleich"),H20-F20,"")</f>
        <v/>
      </c>
      <c r="K20" s="166" t="str">
        <f>IF(AND(B20=Ref!$A$8,SUM(I19:I20)&lt;SUM(J19:J20)),"-","")</f>
        <v/>
      </c>
      <c r="L20" s="167" t="str">
        <f>IF(B20=Ref!$A$8,ABS(SUM(I19:I20)-SUM(J19:J20)),"")</f>
        <v/>
      </c>
    </row>
    <row r="21" spans="1:14" ht="17.45" customHeight="1" x14ac:dyDescent="0.35">
      <c r="A21" s="155">
        <v>3</v>
      </c>
      <c r="B21" s="156" t="str">
        <f t="shared" si="1"/>
        <v>Freitag</v>
      </c>
      <c r="C21" s="157">
        <v>0.35416666666666669</v>
      </c>
      <c r="D21" s="157">
        <v>0.70833333333333337</v>
      </c>
      <c r="E21" s="157">
        <v>2.0833333333333332E-2</v>
      </c>
      <c r="F21" s="158">
        <f>IF(ISTEXT(C21),,D21-C21-E21)</f>
        <v>0.33333333333333337</v>
      </c>
      <c r="G21" s="159"/>
      <c r="H21" s="160">
        <f t="shared" si="0"/>
        <v>0.3125</v>
      </c>
      <c r="I21" s="161" cm="1">
        <f t="array" ref="I21">IF(AND(F21&gt;H21,OR(AND(OR($B21&lt;&gt;Ref!$A$7,$H$56&gt;0),OR($B21&lt;&gt;Ref!$A$8,$H$57&gt;0)),COUNT(SEARCH(Sonderarbeit,$N21))&gt;=1),ISNONTEXT(C21),C21&lt;&gt;""),F21-H21,"")</f>
        <v>2.083333333333337E-2</v>
      </c>
      <c r="J21" s="162" t="str" cm="1">
        <f t="array" ref="J21">IF(OR(AND(F21&lt;H21,OR(AND(OR($B21&lt;&gt;Ref!$A$7,$H$56&gt;0),OR($B21&lt;&gt;Ref!$A$8,$H$57&gt;0)),COUNT(SEARCH(Sonderarbeit,$N21))&gt;=1)),C21="Ausgleich"),H21-F21,"")</f>
        <v/>
      </c>
      <c r="K21" s="166" t="str">
        <f>IF(AND(B21=Ref!$A$8,SUM(I19:I21)&lt;SUM(J19:J21)),"-","")</f>
        <v/>
      </c>
      <c r="L21" s="167" t="str">
        <f>IF(B21=Ref!$A$8,ABS(SUM(I19:I21)-SUM(J19:J21)),"")</f>
        <v/>
      </c>
    </row>
    <row r="22" spans="1:14" ht="17.45" customHeight="1" x14ac:dyDescent="0.35">
      <c r="A22" s="168">
        <v>4</v>
      </c>
      <c r="B22" s="156" t="str">
        <f t="shared" si="1"/>
        <v>Samstag</v>
      </c>
      <c r="C22" s="157">
        <v>0.35416666666666669</v>
      </c>
      <c r="D22" s="157">
        <v>0.70833333333333337</v>
      </c>
      <c r="E22" s="157">
        <v>2.0833333333333332E-2</v>
      </c>
      <c r="F22" s="158">
        <f>IF(ISTEXT(C22),,D22-C22-E22)</f>
        <v>0.33333333333333337</v>
      </c>
      <c r="G22" s="159"/>
      <c r="H22" s="160">
        <f t="shared" si="0"/>
        <v>0</v>
      </c>
      <c r="I22" s="161" t="str" cm="1">
        <f t="array" ref="I22">IF(AND(F22&gt;H22,OR(AND(OR($B22&lt;&gt;Ref!$A$7,$H$56&gt;0),OR($B22&lt;&gt;Ref!$A$8,$H$57&gt;0)),COUNT(SEARCH(Sonderarbeit,$N22))&gt;=1),ISNONTEXT(C22),C22&lt;&gt;""),F22-H22,"")</f>
        <v/>
      </c>
      <c r="J22" s="162" t="str" cm="1">
        <f t="array" ref="J22">IF(OR(AND(F22&lt;H22,OR(AND(OR($B22&lt;&gt;Ref!$A$7,$H$56&gt;0),OR($B22&lt;&gt;Ref!$A$8,$H$57&gt;0)),COUNT(SEARCH(Sonderarbeit,$N22))&gt;=1)),C22="Ausgleich"),H22-F22,"")</f>
        <v/>
      </c>
      <c r="K22" s="166" t="str">
        <f>IF(AND(B22=Ref!$A$8,SUM(I19:I22)&lt;SUM(J19:J22)),"-","")</f>
        <v/>
      </c>
      <c r="L22" s="167" t="str">
        <f>IF(B22=Ref!$A$8,ABS(SUM(I19:I22)-SUM(J19:J22)),"")</f>
        <v/>
      </c>
      <c r="N22" s="169"/>
    </row>
    <row r="23" spans="1:14" ht="17.45" customHeight="1" x14ac:dyDescent="0.35">
      <c r="A23" s="168">
        <v>5</v>
      </c>
      <c r="B23" s="156" t="str">
        <f t="shared" si="1"/>
        <v>Sonntag</v>
      </c>
      <c r="C23" s="157">
        <v>0.35416666666666669</v>
      </c>
      <c r="D23" s="157">
        <v>0.70833333333333337</v>
      </c>
      <c r="E23" s="157">
        <v>2.0833333333333332E-2</v>
      </c>
      <c r="F23" s="158">
        <f>IF(ISTEXT(C23),,D23-C23-E23)</f>
        <v>0.33333333333333337</v>
      </c>
      <c r="G23" s="159"/>
      <c r="H23" s="160">
        <f t="shared" si="0"/>
        <v>0</v>
      </c>
      <c r="I23" s="161" t="str" cm="1">
        <f t="array" ref="I23">IF(AND(F23&gt;H23,OR(AND(OR($B23&lt;&gt;Ref!$A$7,$H$56&gt;0),OR($B23&lt;&gt;Ref!$A$8,$H$57&gt;0)),COUNT(SEARCH(Sonderarbeit,$N23))&gt;=1),ISNONTEXT(C23),C23&lt;&gt;""),F23-H23,"")</f>
        <v/>
      </c>
      <c r="J23" s="162" t="str" cm="1">
        <f t="array" ref="J23">IF(OR(AND(F23&lt;H23,OR(AND(OR($B23&lt;&gt;Ref!$A$7,$H$56&gt;0),OR($B23&lt;&gt;Ref!$A$8,$H$57&gt;0)),COUNT(SEARCH(Sonderarbeit,$N23))&gt;=1)),C23="Ausgleich"),H23-F23,"")</f>
        <v/>
      </c>
      <c r="K23" s="166" t="str">
        <f>IF(AND(B23=Ref!$A$8,SUM(I19:I23)&lt;SUM(J19:J23)),"-","")</f>
        <v/>
      </c>
      <c r="L23" s="167">
        <f>IF(B23=Ref!$A$8,ABS(SUM(I19:I23)-SUM(J19:J23)),"")</f>
        <v>2.083333333333337E-2</v>
      </c>
    </row>
    <row r="24" spans="1:14" ht="17.45" customHeight="1" x14ac:dyDescent="0.35">
      <c r="A24" s="155">
        <v>6</v>
      </c>
      <c r="B24" s="156" t="str">
        <f t="shared" si="1"/>
        <v>Montag</v>
      </c>
      <c r="C24" s="157">
        <v>0.35416666666666669</v>
      </c>
      <c r="D24" s="157">
        <v>0.70833333333333337</v>
      </c>
      <c r="E24" s="157">
        <v>2.0833333333333332E-2</v>
      </c>
      <c r="F24" s="158">
        <f>IF(ISTEXT(C24),,D24-C24-E24)</f>
        <v>0.33333333333333337</v>
      </c>
      <c r="G24" s="159"/>
      <c r="H24" s="160">
        <f>IF(AND(ISTEXT(C24),ISERR(SEARCH("ausgleich",C24,1))),,INDEX(H$51:H$58,WEEKDAY(DATE(J$11,MONTH(I$11),A24),2),1,1))</f>
        <v>0.33333333333333331</v>
      </c>
      <c r="I24" s="161" t="str" cm="1">
        <f t="array" ref="I24">IF(AND(F24&gt;H24,OR(AND(OR($B24&lt;&gt;Ref!$A$7,$H$56&gt;0),OR($B24&lt;&gt;Ref!$A$8,$H$57&gt;0)),COUNT(SEARCH(Sonderarbeit,$N24))&gt;=1),ISNONTEXT(C24),C24&lt;&gt;""),F24-H24,"")</f>
        <v/>
      </c>
      <c r="J24" s="162" t="str" cm="1">
        <f t="array" ref="J24">IF(OR(AND(F24&lt;H24,OR(AND(OR($B24&lt;&gt;Ref!$A$7,$H$56&gt;0),OR($B24&lt;&gt;Ref!$A$8,$H$57&gt;0)),COUNT(SEARCH(Sonderarbeit,$N24))&gt;=1)),C24="Ausgleich"),H24-F24,"")</f>
        <v/>
      </c>
      <c r="K24" s="166" t="str">
        <f>IF(AND(B24=Ref!$A$8,SUM(I19:I24)&lt;SUM(J19:J24)),"-","")</f>
        <v/>
      </c>
      <c r="L24" s="167" t="str">
        <f>IF(B24=Ref!$A$8,ABS(SUM(I19:I24)-SUM(J19:J24)),"")</f>
        <v/>
      </c>
    </row>
    <row r="25" spans="1:14" ht="17.45" customHeight="1" x14ac:dyDescent="0.35">
      <c r="A25" s="168">
        <v>7</v>
      </c>
      <c r="B25" s="156" t="str">
        <f t="shared" si="1"/>
        <v>Dienstag</v>
      </c>
      <c r="C25" s="157">
        <v>0.35416666666666669</v>
      </c>
      <c r="D25" s="157">
        <v>0.70833333333333337</v>
      </c>
      <c r="E25" s="157">
        <v>2.0833333333333332E-2</v>
      </c>
      <c r="F25" s="158">
        <f>IF(ISTEXT(C25),,D25-C25-E25)</f>
        <v>0.33333333333333337</v>
      </c>
      <c r="G25" s="159"/>
      <c r="H25" s="160">
        <f t="shared" ref="H25:H49" si="2">IF(AND(ISTEXT(C25),ISERR(SEARCH("ausgleich",C25,1))),,INDEX(H$51:H$58,WEEKDAY(DATE(J$11,MONTH(I$11),A25),2),1,1))</f>
        <v>0.33333333333333331</v>
      </c>
      <c r="I25" s="161" t="str" cm="1">
        <f t="array" ref="I25">IF(AND(F25&gt;H25,OR(AND(OR($B25&lt;&gt;Ref!$A$7,$H$56&gt;0),OR($B25&lt;&gt;Ref!$A$8,$H$57&gt;0)),COUNT(SEARCH(Sonderarbeit,$N25))&gt;=1),ISNONTEXT(C25),C25&lt;&gt;""),F25-H25,"")</f>
        <v/>
      </c>
      <c r="J25" s="162" t="str" cm="1">
        <f t="array" ref="J25">IF(OR(AND(F25&lt;H25,OR(AND(OR($B25&lt;&gt;Ref!$A$7,$H$56&gt;0),OR($B25&lt;&gt;Ref!$A$8,$H$57&gt;0)),COUNT(SEARCH(Sonderarbeit,$N25))&gt;=1)),C25="Ausgleich"),H25-F25,"")</f>
        <v/>
      </c>
      <c r="K25" s="166" t="str">
        <f>IF(AND(B25=Ref!$A$8,SUM(I19:I25)&lt;SUM(J19:J25)),"-","")</f>
        <v/>
      </c>
      <c r="L25" s="167" t="str">
        <f>IF(B25=Ref!$A$8,ABS(SUM(I19:I25)-SUM(J19:J25)),"")</f>
        <v/>
      </c>
    </row>
    <row r="26" spans="1:14" ht="17.45" customHeight="1" x14ac:dyDescent="0.35">
      <c r="A26" s="168">
        <v>8</v>
      </c>
      <c r="B26" s="156" t="str">
        <f t="shared" si="1"/>
        <v>Mittwoch</v>
      </c>
      <c r="C26" s="157">
        <v>0.35416666666666669</v>
      </c>
      <c r="D26" s="157">
        <v>0.70833333333333337</v>
      </c>
      <c r="E26" s="157">
        <v>2.0833333333333332E-2</v>
      </c>
      <c r="F26" s="158">
        <f>IF(ISTEXT(C26),,D26-C26-E26)</f>
        <v>0.33333333333333337</v>
      </c>
      <c r="G26" s="159"/>
      <c r="H26" s="160">
        <f t="shared" si="2"/>
        <v>0.33333333333333331</v>
      </c>
      <c r="I26" s="161" t="str" cm="1">
        <f t="array" ref="I26">IF(AND(F26&gt;H26,OR(AND(OR($B26&lt;&gt;Ref!$A$7,$H$56&gt;0),OR($B26&lt;&gt;Ref!$A$8,$H$57&gt;0)),COUNT(SEARCH(Sonderarbeit,$N26))&gt;=1),ISNONTEXT(C26),C26&lt;&gt;""),F26-H26,"")</f>
        <v/>
      </c>
      <c r="J26" s="162" t="str" cm="1">
        <f t="array" ref="J26">IF(OR(AND(F26&lt;H26,OR(AND(OR($B26&lt;&gt;Ref!$A$7,$H$56&gt;0),OR($B26&lt;&gt;Ref!$A$8,$H$57&gt;0)),COUNT(SEARCH(Sonderarbeit,$N26))&gt;=1)),C26="Ausgleich"),H26-F26,"")</f>
        <v/>
      </c>
      <c r="K26" s="166" t="str">
        <f>IF(AND(B26=Ref!$A$8,SUM(I20:I26)&lt;SUM(J20:J26)),"-","")</f>
        <v/>
      </c>
      <c r="L26" s="167" t="str">
        <f>IF(B26=Ref!$A$8,ABS(SUM(I20:I26)-SUM(J20:J26)),"")</f>
        <v/>
      </c>
    </row>
    <row r="27" spans="1:14" ht="17.45" customHeight="1" x14ac:dyDescent="0.35">
      <c r="A27" s="155">
        <v>9</v>
      </c>
      <c r="B27" s="156" t="str">
        <f t="shared" si="1"/>
        <v>Donnerstag</v>
      </c>
      <c r="C27" s="157">
        <v>0.35416666666666669</v>
      </c>
      <c r="D27" s="157">
        <v>0.70833333333333337</v>
      </c>
      <c r="E27" s="157">
        <v>2.0833333333333332E-2</v>
      </c>
      <c r="F27" s="158">
        <f>IF(ISTEXT(C27),,D27-C27-E27)</f>
        <v>0.33333333333333337</v>
      </c>
      <c r="G27" s="159"/>
      <c r="H27" s="160">
        <f t="shared" si="2"/>
        <v>0.33333333333333331</v>
      </c>
      <c r="I27" s="161" t="str" cm="1">
        <f t="array" ref="I27">IF(AND(F27&gt;H27,OR(AND(OR($B27&lt;&gt;Ref!$A$7,$H$56&gt;0),OR($B27&lt;&gt;Ref!$A$8,$H$57&gt;0)),COUNT(SEARCH(Sonderarbeit,$N27))&gt;=1),ISNONTEXT(C27),C27&lt;&gt;""),F27-H27,"")</f>
        <v/>
      </c>
      <c r="J27" s="162" t="str" cm="1">
        <f t="array" ref="J27">IF(OR(AND(F27&lt;H27,OR(AND(OR($B27&lt;&gt;Ref!$A$7,$H$56&gt;0),OR($B27&lt;&gt;Ref!$A$8,$H$57&gt;0)),COUNT(SEARCH(Sonderarbeit,$N27))&gt;=1)),C27="Ausgleich"),H27-F27,"")</f>
        <v/>
      </c>
      <c r="K27" s="166" t="str">
        <f>IF(AND(B27=Ref!$A$8,SUM(I21:I27)&lt;SUM(J21:J27)),"-","")</f>
        <v/>
      </c>
      <c r="L27" s="167" t="str">
        <f>IF(B27=Ref!$A$8,ABS(SUM(I21:I27)-SUM(J21:J27)),"")</f>
        <v/>
      </c>
    </row>
    <row r="28" spans="1:14" ht="17.45" customHeight="1" x14ac:dyDescent="0.35">
      <c r="A28" s="155">
        <v>10</v>
      </c>
      <c r="B28" s="156" t="str">
        <f t="shared" si="1"/>
        <v>Freitag</v>
      </c>
      <c r="C28" s="157">
        <v>0.35416666666666669</v>
      </c>
      <c r="D28" s="157">
        <v>0.70833333333333337</v>
      </c>
      <c r="E28" s="157">
        <v>2.0833333333333332E-2</v>
      </c>
      <c r="F28" s="158">
        <f>IF(ISTEXT(C28),,D28-C28-E28)</f>
        <v>0.33333333333333337</v>
      </c>
      <c r="G28" s="159"/>
      <c r="H28" s="160">
        <f t="shared" si="2"/>
        <v>0.3125</v>
      </c>
      <c r="I28" s="161" cm="1">
        <f t="array" ref="I28">IF(AND(F28&gt;H28,OR(AND(OR($B28&lt;&gt;Ref!$A$7,$H$56&gt;0),OR($B28&lt;&gt;Ref!$A$8,$H$57&gt;0)),COUNT(SEARCH(Sonderarbeit,$N28))&gt;=1),ISNONTEXT(C28),C28&lt;&gt;""),F28-H28,"")</f>
        <v>2.083333333333337E-2</v>
      </c>
      <c r="J28" s="162" t="str" cm="1">
        <f t="array" ref="J28">IF(OR(AND(F28&lt;H28,OR(AND(OR($B28&lt;&gt;Ref!$A$7,$H$56&gt;0),OR($B28&lt;&gt;Ref!$A$8,$H$57&gt;0)),COUNT(SEARCH(Sonderarbeit,$N28))&gt;=1)),C28="Ausgleich"),H28-F28,"")</f>
        <v/>
      </c>
      <c r="K28" s="166" t="str">
        <f>IF(AND(B28=Ref!$A$8,SUM(I22:I28)&lt;SUM(J22:J28)),"-","")</f>
        <v/>
      </c>
      <c r="L28" s="167" t="str">
        <f>IF(B28=Ref!$A$8,ABS(SUM(I22:I28)-SUM(J22:J28)),"")</f>
        <v/>
      </c>
    </row>
    <row r="29" spans="1:14" ht="17.45" customHeight="1" x14ac:dyDescent="0.35">
      <c r="A29" s="168">
        <v>11</v>
      </c>
      <c r="B29" s="156" t="str">
        <f t="shared" si="1"/>
        <v>Samstag</v>
      </c>
      <c r="C29" s="157">
        <v>0.35416666666666669</v>
      </c>
      <c r="D29" s="157">
        <v>0.70833333333333337</v>
      </c>
      <c r="E29" s="157">
        <v>2.0833333333333332E-2</v>
      </c>
      <c r="F29" s="158">
        <f>IF(ISTEXT(C29),,D29-C29-E29)</f>
        <v>0.33333333333333337</v>
      </c>
      <c r="G29" s="159"/>
      <c r="H29" s="160">
        <f t="shared" si="2"/>
        <v>0</v>
      </c>
      <c r="I29" s="161" t="str" cm="1">
        <f t="array" ref="I29">IF(AND(F29&gt;H29,OR(AND(OR($B29&lt;&gt;Ref!$A$7,$H$56&gt;0),OR($B29&lt;&gt;Ref!$A$8,$H$57&gt;0)),COUNT(SEARCH(Sonderarbeit,$N29))&gt;=1),ISNONTEXT(C29),C29&lt;&gt;""),F29-H29,"")</f>
        <v/>
      </c>
      <c r="J29" s="162" t="str" cm="1">
        <f t="array" ref="J29">IF(OR(AND(F29&lt;H29,OR(AND(OR($B29&lt;&gt;Ref!$A$7,$H$56&gt;0),OR($B29&lt;&gt;Ref!$A$8,$H$57&gt;0)),COUNT(SEARCH(Sonderarbeit,$N29))&gt;=1)),C29="Ausgleich"),H29-F29,"")</f>
        <v/>
      </c>
      <c r="K29" s="166" t="str">
        <f>IF(AND(B29=Ref!$A$8,SUM(I23:I29)&lt;SUM(J23:J29)),"-","")</f>
        <v/>
      </c>
      <c r="L29" s="167" t="str">
        <f>IF(B29=Ref!$A$8,ABS(SUM(I23:I29)-SUM(J23:J29)),"")</f>
        <v/>
      </c>
    </row>
    <row r="30" spans="1:14" ht="17.45" customHeight="1" x14ac:dyDescent="0.35">
      <c r="A30" s="168">
        <v>12</v>
      </c>
      <c r="B30" s="156" t="str">
        <f t="shared" si="1"/>
        <v>Sonntag</v>
      </c>
      <c r="C30" s="157">
        <v>0.35416666666666669</v>
      </c>
      <c r="D30" s="157">
        <v>0.70833333333333337</v>
      </c>
      <c r="E30" s="157">
        <v>2.0833333333333332E-2</v>
      </c>
      <c r="F30" s="158">
        <f>IF(ISTEXT(C30),,D30-C30-E30)</f>
        <v>0.33333333333333337</v>
      </c>
      <c r="G30" s="159"/>
      <c r="H30" s="160">
        <f t="shared" si="2"/>
        <v>0</v>
      </c>
      <c r="I30" s="161" t="str" cm="1">
        <f t="array" ref="I30">IF(AND(F30&gt;H30,OR(AND(OR($B30&lt;&gt;Ref!$A$7,$H$56&gt;0),OR($B30&lt;&gt;Ref!$A$8,$H$57&gt;0)),COUNT(SEARCH(Sonderarbeit,$N30))&gt;=1),ISNONTEXT(C30),C30&lt;&gt;""),F30-H30,"")</f>
        <v/>
      </c>
      <c r="J30" s="162" t="str" cm="1">
        <f t="array" ref="J30">IF(OR(AND(F30&lt;H30,OR(AND(OR($B30&lt;&gt;Ref!$A$7,$H$56&gt;0),OR($B30&lt;&gt;Ref!$A$8,$H$57&gt;0)),COUNT(SEARCH(Sonderarbeit,$N30))&gt;=1)),C30="Ausgleich"),H30-F30,"")</f>
        <v/>
      </c>
      <c r="K30" s="166" t="str">
        <f>IF(AND(B30=Ref!$A$8,SUM(I24:I30)&lt;SUM(J24:J30)),"-","")</f>
        <v/>
      </c>
      <c r="L30" s="167">
        <f>IF(B30=Ref!$A$8,ABS(SUM(I24:I30)-SUM(J24:J30)),"")</f>
        <v>2.083333333333337E-2</v>
      </c>
    </row>
    <row r="31" spans="1:14" ht="17.45" customHeight="1" x14ac:dyDescent="0.35">
      <c r="A31" s="168">
        <v>13</v>
      </c>
      <c r="B31" s="156" t="str">
        <f t="shared" si="1"/>
        <v>Montag</v>
      </c>
      <c r="C31" s="157">
        <v>0.35416666666666669</v>
      </c>
      <c r="D31" s="157">
        <v>0.70833333333333337</v>
      </c>
      <c r="E31" s="157">
        <v>2.0833333333333332E-2</v>
      </c>
      <c r="F31" s="158">
        <f>IF(ISTEXT(C31),,D31-C31-E31)</f>
        <v>0.33333333333333337</v>
      </c>
      <c r="G31" s="159"/>
      <c r="H31" s="160">
        <f t="shared" si="2"/>
        <v>0.33333333333333331</v>
      </c>
      <c r="I31" s="161" t="str" cm="1">
        <f t="array" ref="I31">IF(AND(F31&gt;H31,OR(AND(OR($B31&lt;&gt;Ref!$A$7,$H$56&gt;0),OR($B31&lt;&gt;Ref!$A$8,$H$57&gt;0)),COUNT(SEARCH(Sonderarbeit,$N31))&gt;=1),ISNONTEXT(C31),C31&lt;&gt;""),F31-H31,"")</f>
        <v/>
      </c>
      <c r="J31" s="162" t="str" cm="1">
        <f t="array" ref="J31">IF(OR(AND(F31&lt;H31,OR(AND(OR($B31&lt;&gt;Ref!$A$7,$H$56&gt;0),OR($B31&lt;&gt;Ref!$A$8,$H$57&gt;0)),COUNT(SEARCH(Sonderarbeit,$N31))&gt;=1)),C31="Ausgleich"),H31-F31,"")</f>
        <v/>
      </c>
      <c r="K31" s="166" t="str">
        <f>IF(AND(B31=Ref!$A$8,SUM(I25:I31)&lt;SUM(J25:J31)),"-","")</f>
        <v/>
      </c>
      <c r="L31" s="167" t="str">
        <f>IF(B31=Ref!$A$8,ABS(SUM(I25:I31)-SUM(J25:J31)),"")</f>
        <v/>
      </c>
    </row>
    <row r="32" spans="1:14" ht="17.45" customHeight="1" x14ac:dyDescent="0.35">
      <c r="A32" s="168">
        <v>14</v>
      </c>
      <c r="B32" s="156" t="str">
        <f t="shared" si="1"/>
        <v>Dienstag</v>
      </c>
      <c r="C32" s="157">
        <v>0.35416666666666669</v>
      </c>
      <c r="D32" s="157">
        <v>0.70833333333333337</v>
      </c>
      <c r="E32" s="157">
        <v>2.0833333333333332E-2</v>
      </c>
      <c r="F32" s="158">
        <f>IF(ISTEXT(C32),,D32-C32-E32)</f>
        <v>0.33333333333333337</v>
      </c>
      <c r="G32" s="159"/>
      <c r="H32" s="160">
        <f t="shared" si="2"/>
        <v>0.33333333333333331</v>
      </c>
      <c r="I32" s="161" t="str" cm="1">
        <f t="array" ref="I32">IF(AND(F32&gt;H32,OR(AND(OR($B32&lt;&gt;Ref!$A$7,$H$56&gt;0),OR($B32&lt;&gt;Ref!$A$8,$H$57&gt;0)),COUNT(SEARCH(Sonderarbeit,$N32))&gt;=1),ISNONTEXT(C32),C32&lt;&gt;""),F32-H32,"")</f>
        <v/>
      </c>
      <c r="J32" s="162" t="str" cm="1">
        <f t="array" ref="J32">IF(OR(AND(F32&lt;H32,OR(AND(OR($B32&lt;&gt;Ref!$A$7,$H$56&gt;0),OR($B32&lt;&gt;Ref!$A$8,$H$57&gt;0)),COUNT(SEARCH(Sonderarbeit,$N32))&gt;=1)),C32="Ausgleich"),H32-F32,"")</f>
        <v/>
      </c>
      <c r="K32" s="166" t="str">
        <f>IF(AND(B32=Ref!$A$8,SUM(I26:I32)&lt;SUM(J26:J32)),"-","")</f>
        <v/>
      </c>
      <c r="L32" s="167" t="str">
        <f>IF(B32=Ref!$A$8,ABS(SUM(I26:I32)-SUM(J26:J32)),"")</f>
        <v/>
      </c>
    </row>
    <row r="33" spans="1:14" ht="17.45" customHeight="1" x14ac:dyDescent="0.35">
      <c r="A33" s="155">
        <v>15</v>
      </c>
      <c r="B33" s="156" t="str">
        <f t="shared" si="1"/>
        <v>Mittwoch</v>
      </c>
      <c r="C33" s="157">
        <v>0.35416666666666669</v>
      </c>
      <c r="D33" s="157">
        <v>0.70833333333333337</v>
      </c>
      <c r="E33" s="157">
        <v>2.0833333333333332E-2</v>
      </c>
      <c r="F33" s="158">
        <f>IF(ISTEXT(C33),,D33-C33-E33)</f>
        <v>0.33333333333333337</v>
      </c>
      <c r="G33" s="159"/>
      <c r="H33" s="160">
        <f t="shared" si="2"/>
        <v>0.33333333333333331</v>
      </c>
      <c r="I33" s="161" t="str" cm="1">
        <f t="array" ref="I33">IF(AND(F33&gt;H33,OR(AND(OR($B33&lt;&gt;Ref!$A$7,$H$56&gt;0),OR($B33&lt;&gt;Ref!$A$8,$H$57&gt;0)),COUNT(SEARCH(Sonderarbeit,$N33))&gt;=1),ISNONTEXT(C33),C33&lt;&gt;""),F33-H33,"")</f>
        <v/>
      </c>
      <c r="J33" s="162" t="str" cm="1">
        <f t="array" ref="J33">IF(OR(AND(F33&lt;H33,OR(AND(OR($B33&lt;&gt;Ref!$A$7,$H$56&gt;0),OR($B33&lt;&gt;Ref!$A$8,$H$57&gt;0)),COUNT(SEARCH(Sonderarbeit,$N33))&gt;=1)),C33="Ausgleich"),H33-F33,"")</f>
        <v/>
      </c>
      <c r="K33" s="166" t="str">
        <f>IF(AND(B33=Ref!$A$8,SUM(I27:I33)&lt;SUM(J27:J33)),"-","")</f>
        <v/>
      </c>
      <c r="L33" s="167" t="str">
        <f>IF(B33=Ref!$A$8,ABS(SUM(I27:I33)-SUM(J27:J33)),"")</f>
        <v/>
      </c>
    </row>
    <row r="34" spans="1:14" ht="17.45" customHeight="1" x14ac:dyDescent="0.35">
      <c r="A34" s="155">
        <v>16</v>
      </c>
      <c r="B34" s="156" t="str">
        <f t="shared" si="1"/>
        <v>Donnerstag</v>
      </c>
      <c r="C34" s="157">
        <v>0.35416666666666669</v>
      </c>
      <c r="D34" s="157">
        <v>0.70833333333333337</v>
      </c>
      <c r="E34" s="157">
        <v>2.0833333333333332E-2</v>
      </c>
      <c r="F34" s="158">
        <f>IF(ISTEXT(C34),,D34-C34-E34)</f>
        <v>0.33333333333333337</v>
      </c>
      <c r="G34" s="159"/>
      <c r="H34" s="160">
        <f t="shared" si="2"/>
        <v>0.33333333333333331</v>
      </c>
      <c r="I34" s="161" t="str" cm="1">
        <f t="array" ref="I34">IF(AND(F34&gt;H34,OR(AND(OR($B34&lt;&gt;Ref!$A$7,$H$56&gt;0),OR($B34&lt;&gt;Ref!$A$8,$H$57&gt;0)),COUNT(SEARCH(Sonderarbeit,$N34))&gt;=1),ISNONTEXT(C34),C34&lt;&gt;""),F34-H34,"")</f>
        <v/>
      </c>
      <c r="J34" s="162" t="str" cm="1">
        <f t="array" ref="J34">IF(OR(AND(F34&lt;H34,OR(AND(OR($B34&lt;&gt;Ref!$A$7,$H$56&gt;0),OR($B34&lt;&gt;Ref!$A$8,$H$57&gt;0)),COUNT(SEARCH(Sonderarbeit,$N34))&gt;=1)),C34="Ausgleich"),H34-F34,"")</f>
        <v/>
      </c>
      <c r="K34" s="166" t="str">
        <f>IF(AND(B34=Ref!$A$8,SUM(I28:I34)&lt;SUM(J28:J34)),"-","")</f>
        <v/>
      </c>
      <c r="L34" s="167" t="str">
        <f>IF(B34=Ref!$A$8,ABS(SUM(I28:I34)-SUM(J28:J34)),"")</f>
        <v/>
      </c>
    </row>
    <row r="35" spans="1:14" ht="17.45" customHeight="1" x14ac:dyDescent="0.35">
      <c r="A35" s="155">
        <v>17</v>
      </c>
      <c r="B35" s="156" t="str">
        <f t="shared" si="1"/>
        <v>Freitag</v>
      </c>
      <c r="C35" s="157">
        <v>0.35416666666666669</v>
      </c>
      <c r="D35" s="157">
        <v>0.70833333333333337</v>
      </c>
      <c r="E35" s="157">
        <v>2.0833333333333332E-2</v>
      </c>
      <c r="F35" s="158">
        <f>IF(ISTEXT(C35),,D35-C35-E35)</f>
        <v>0.33333333333333337</v>
      </c>
      <c r="G35" s="159"/>
      <c r="H35" s="160">
        <f t="shared" si="2"/>
        <v>0.3125</v>
      </c>
      <c r="I35" s="161" cm="1">
        <f t="array" ref="I35">IF(AND(F35&gt;H35,OR(AND(OR($B35&lt;&gt;Ref!$A$7,$H$56&gt;0),OR($B35&lt;&gt;Ref!$A$8,$H$57&gt;0)),COUNT(SEARCH(Sonderarbeit,$N35))&gt;=1),ISNONTEXT(C35),C35&lt;&gt;""),F35-H35,"")</f>
        <v>2.083333333333337E-2</v>
      </c>
      <c r="J35" s="162" t="str" cm="1">
        <f t="array" ref="J35">IF(OR(AND(F35&lt;H35,OR(AND(OR($B35&lt;&gt;Ref!$A$7,$H$56&gt;0),OR($B35&lt;&gt;Ref!$A$8,$H$57&gt;0)),COUNT(SEARCH(Sonderarbeit,$N35))&gt;=1)),C35="Ausgleich"),H35-F35,"")</f>
        <v/>
      </c>
      <c r="K35" s="166" t="str">
        <f>IF(AND(B35=Ref!$A$8,SUM(I29:I35)&lt;SUM(J29:J35)),"-","")</f>
        <v/>
      </c>
      <c r="L35" s="167" t="str">
        <f>IF(B35=Ref!$A$8,ABS(SUM(I29:I35)-SUM(J29:J35)),"")</f>
        <v/>
      </c>
      <c r="N35" s="100" t="str">
        <f>IF(Mantelbogen!$C$8="Geschäftsstelle", "Klassensitzung", "")</f>
        <v>Klassensitzung</v>
      </c>
    </row>
    <row r="36" spans="1:14" ht="17.45" customHeight="1" x14ac:dyDescent="0.35">
      <c r="A36" s="155">
        <v>18</v>
      </c>
      <c r="B36" s="156" t="str">
        <f t="shared" si="1"/>
        <v>Samstag</v>
      </c>
      <c r="C36" s="157">
        <v>0.35416666666666669</v>
      </c>
      <c r="D36" s="157">
        <v>0.70833333333333337</v>
      </c>
      <c r="E36" s="157">
        <v>2.0833333333333332E-2</v>
      </c>
      <c r="F36" s="158">
        <f>IF(ISTEXT(C36),,D36-C36-E36)</f>
        <v>0.33333333333333337</v>
      </c>
      <c r="G36" s="159"/>
      <c r="H36" s="160">
        <f t="shared" si="2"/>
        <v>0</v>
      </c>
      <c r="I36" s="161" cm="1">
        <f t="array" ref="I36">IF(AND(F36&gt;H36,OR(AND(OR($B36&lt;&gt;Ref!$A$7,$H$56&gt;0),OR($B36&lt;&gt;Ref!$A$8,$H$57&gt;0)),COUNT(SEARCH(Sonderarbeit,$N36))&gt;=1),ISNONTEXT(C36),C36&lt;&gt;""),F36-H36,"")</f>
        <v>0.33333333333333337</v>
      </c>
      <c r="J36" s="162" t="str" cm="1">
        <f t="array" ref="J36">IF(OR(AND(F36&lt;H36,OR(AND(OR($B36&lt;&gt;Ref!$A$7,$H$56&gt;0),OR($B36&lt;&gt;Ref!$A$8,$H$57&gt;0)),COUNT(SEARCH(Sonderarbeit,$N36))&gt;=1)),C36="Ausgleich"),H36-F36,"")</f>
        <v/>
      </c>
      <c r="K36" s="166" t="str">
        <f>IF(AND(B36=Ref!$A$8,SUM(I30:I36)&lt;SUM(J30:J36)),"-","")</f>
        <v/>
      </c>
      <c r="L36" s="167" t="str">
        <f>IF(B36=Ref!$A$8,ABS(SUM(I30:I36)-SUM(J30:J36)),"")</f>
        <v/>
      </c>
      <c r="N36" s="100" t="str">
        <f>IF(Mantelbogen!$C$8="Geschäftsstelle", "Gesamtsitzung", "")</f>
        <v>Gesamtsitzung</v>
      </c>
    </row>
    <row r="37" spans="1:14" ht="17.45" customHeight="1" x14ac:dyDescent="0.35">
      <c r="A37" s="155">
        <v>19</v>
      </c>
      <c r="B37" s="156" t="str">
        <f t="shared" si="1"/>
        <v>Sonntag</v>
      </c>
      <c r="C37" s="157">
        <v>0.35416666666666669</v>
      </c>
      <c r="D37" s="157">
        <v>0.70833333333333337</v>
      </c>
      <c r="E37" s="157">
        <v>2.0833333333333332E-2</v>
      </c>
      <c r="F37" s="158">
        <f>IF(ISTEXT(C37),,D37-C37-E37)</f>
        <v>0.33333333333333337</v>
      </c>
      <c r="G37" s="159"/>
      <c r="H37" s="160">
        <f t="shared" si="2"/>
        <v>0</v>
      </c>
      <c r="I37" s="161" t="str" cm="1">
        <f t="array" ref="I37">IF(AND(F37&gt;H37,OR(AND(OR($B37&lt;&gt;Ref!$A$7,$H$56&gt;0),OR($B37&lt;&gt;Ref!$A$8,$H$57&gt;0)),COUNT(SEARCH(Sonderarbeit,$N37))&gt;=1),ISNONTEXT(C37),C37&lt;&gt;""),F37-H37,"")</f>
        <v/>
      </c>
      <c r="J37" s="162" t="str" cm="1">
        <f t="array" ref="J37">IF(OR(AND(F37&lt;H37,OR(AND(OR($B37&lt;&gt;Ref!$A$7,$H$56&gt;0),OR($B37&lt;&gt;Ref!$A$8,$H$57&gt;0)),COUNT(SEARCH(Sonderarbeit,$N37))&gt;=1)),C37="Ausgleich"),H37-F37,"")</f>
        <v/>
      </c>
      <c r="K37" s="166" t="str">
        <f>IF(AND(B37=Ref!$A$8,SUM(I31:I37)&lt;SUM(J31:J37)),"-","")</f>
        <v/>
      </c>
      <c r="L37" s="167">
        <f>IF(B37=Ref!$A$8,ABS(SUM(I31:I37)-SUM(J31:J37)),"")</f>
        <v>0.35416666666666674</v>
      </c>
    </row>
    <row r="38" spans="1:14" ht="17.45" customHeight="1" x14ac:dyDescent="0.35">
      <c r="A38" s="155">
        <v>20</v>
      </c>
      <c r="B38" s="156" t="str">
        <f t="shared" si="1"/>
        <v>Montag</v>
      </c>
      <c r="C38" s="157">
        <v>0.35416666666666669</v>
      </c>
      <c r="D38" s="157">
        <v>0.70833333333333337</v>
      </c>
      <c r="E38" s="157">
        <v>2.0833333333333332E-2</v>
      </c>
      <c r="F38" s="158">
        <f>IF(ISTEXT(C38),,D38-C38-E38)</f>
        <v>0.33333333333333337</v>
      </c>
      <c r="G38" s="159"/>
      <c r="H38" s="160">
        <f t="shared" si="2"/>
        <v>0.33333333333333331</v>
      </c>
      <c r="I38" s="161" t="str" cm="1">
        <f t="array" ref="I38">IF(AND(F38&gt;H38,OR(AND(OR($B38&lt;&gt;Ref!$A$7,$H$56&gt;0),OR($B38&lt;&gt;Ref!$A$8,$H$57&gt;0)),COUNT(SEARCH(Sonderarbeit,$N38))&gt;=1),ISNONTEXT(C38),C38&lt;&gt;""),F38-H38,"")</f>
        <v/>
      </c>
      <c r="J38" s="162" t="str" cm="1">
        <f t="array" ref="J38">IF(OR(AND(F38&lt;H38,OR(AND(OR($B38&lt;&gt;Ref!$A$7,$H$56&gt;0),OR($B38&lt;&gt;Ref!$A$8,$H$57&gt;0)),COUNT(SEARCH(Sonderarbeit,$N38))&gt;=1)),C38="Ausgleich"),H38-F38,"")</f>
        <v/>
      </c>
      <c r="K38" s="166" t="str">
        <f>IF(AND(B38=Ref!$A$8,SUM(I32:I38)&lt;SUM(J32:J38)),"-","")</f>
        <v/>
      </c>
      <c r="L38" s="167" t="str">
        <f>IF(B38=Ref!$A$8,ABS(SUM(I32:I38)-SUM(J32:J38)),"")</f>
        <v/>
      </c>
    </row>
    <row r="39" spans="1:14" ht="17.45" customHeight="1" x14ac:dyDescent="0.35">
      <c r="A39" s="155">
        <v>21</v>
      </c>
      <c r="B39" s="156" t="str">
        <f t="shared" si="1"/>
        <v>Dienstag</v>
      </c>
      <c r="C39" s="157">
        <v>0.35416666666666669</v>
      </c>
      <c r="D39" s="157">
        <v>0.70833333333333337</v>
      </c>
      <c r="E39" s="157">
        <v>2.0833333333333332E-2</v>
      </c>
      <c r="F39" s="158">
        <f>IF(ISTEXT(C39),,D39-C39-E39)</f>
        <v>0.33333333333333337</v>
      </c>
      <c r="G39" s="159"/>
      <c r="H39" s="160">
        <f t="shared" si="2"/>
        <v>0.33333333333333331</v>
      </c>
      <c r="I39" s="161" t="str" cm="1">
        <f t="array" ref="I39">IF(AND(F39&gt;H39,OR(AND(OR($B39&lt;&gt;Ref!$A$7,$H$56&gt;0),OR($B39&lt;&gt;Ref!$A$8,$H$57&gt;0)),COUNT(SEARCH(Sonderarbeit,$N39))&gt;=1),ISNONTEXT(C39),C39&lt;&gt;""),F39-H39,"")</f>
        <v/>
      </c>
      <c r="J39" s="162" t="str" cm="1">
        <f t="array" ref="J39">IF(OR(AND(F39&lt;H39,OR(AND(OR($B39&lt;&gt;Ref!$A$7,$H$56&gt;0),OR($B39&lt;&gt;Ref!$A$8,$H$57&gt;0)),COUNT(SEARCH(Sonderarbeit,$N39))&gt;=1)),C39="Ausgleich"),H39-F39,"")</f>
        <v/>
      </c>
      <c r="K39" s="166" t="str">
        <f>IF(AND(B39=Ref!$A$8,SUM(I33:I39)&lt;SUM(J33:J39)),"-","")</f>
        <v/>
      </c>
      <c r="L39" s="167" t="str">
        <f>IF(B39=Ref!$A$8,ABS(SUM(I33:I39)-SUM(J33:J39)),"")</f>
        <v/>
      </c>
    </row>
    <row r="40" spans="1:14" ht="17.45" customHeight="1" x14ac:dyDescent="0.35">
      <c r="A40" s="155">
        <v>22</v>
      </c>
      <c r="B40" s="156" t="str">
        <f t="shared" si="1"/>
        <v>Mittwoch</v>
      </c>
      <c r="C40" s="157">
        <v>0.35416666666666669</v>
      </c>
      <c r="D40" s="157">
        <v>0.70833333333333337</v>
      </c>
      <c r="E40" s="157">
        <v>2.0833333333333332E-2</v>
      </c>
      <c r="F40" s="158">
        <f>IF(ISTEXT(C40),,D40-C40-E40)</f>
        <v>0.33333333333333337</v>
      </c>
      <c r="G40" s="159"/>
      <c r="H40" s="160">
        <f t="shared" si="2"/>
        <v>0.33333333333333331</v>
      </c>
      <c r="I40" s="161" t="str" cm="1">
        <f t="array" ref="I40">IF(AND(F40&gt;H40,OR(AND(OR($B40&lt;&gt;Ref!$A$7,$H$56&gt;0),OR($B40&lt;&gt;Ref!$A$8,$H$57&gt;0)),COUNT(SEARCH(Sonderarbeit,$N40))&gt;=1),ISNONTEXT(C40),C40&lt;&gt;""),F40-H40,"")</f>
        <v/>
      </c>
      <c r="J40" s="162" t="str" cm="1">
        <f t="array" ref="J40">IF(OR(AND(F40&lt;H40,OR(AND(OR($B40&lt;&gt;Ref!$A$7,$H$56&gt;0),OR($B40&lt;&gt;Ref!$A$8,$H$57&gt;0)),COUNT(SEARCH(Sonderarbeit,$N40))&gt;=1)),C40="Ausgleich"),H40-F40,"")</f>
        <v/>
      </c>
      <c r="K40" s="166" t="str">
        <f>IF(AND(B40=Ref!$A$8,SUM(I34:I40)&lt;SUM(J34:J40)),"-","")</f>
        <v/>
      </c>
      <c r="L40" s="167" t="str">
        <f>IF(B40=Ref!$A$8,ABS(SUM(I34:I40)-SUM(J34:J40)),"")</f>
        <v/>
      </c>
    </row>
    <row r="41" spans="1:14" ht="17.45" customHeight="1" x14ac:dyDescent="0.35">
      <c r="A41" s="155">
        <v>23</v>
      </c>
      <c r="B41" s="156" t="str">
        <f t="shared" si="1"/>
        <v>Donnerstag</v>
      </c>
      <c r="C41" s="157">
        <v>0.35416666666666669</v>
      </c>
      <c r="D41" s="157">
        <v>0.70833333333333337</v>
      </c>
      <c r="E41" s="157">
        <v>2.0833333333333332E-2</v>
      </c>
      <c r="F41" s="158">
        <f>IF(ISTEXT(C41),,D41-C41-E41)</f>
        <v>0.33333333333333337</v>
      </c>
      <c r="G41" s="159"/>
      <c r="H41" s="160">
        <f t="shared" si="2"/>
        <v>0.33333333333333331</v>
      </c>
      <c r="I41" s="161" t="str" cm="1">
        <f t="array" ref="I41">IF(AND(F41&gt;H41,OR(AND(OR($B41&lt;&gt;Ref!$A$7,$H$56&gt;0),OR($B41&lt;&gt;Ref!$A$8,$H$57&gt;0)),COUNT(SEARCH(Sonderarbeit,$N41))&gt;=1),ISNONTEXT(C41),C41&lt;&gt;""),F41-H41,"")</f>
        <v/>
      </c>
      <c r="J41" s="162" t="str" cm="1">
        <f t="array" ref="J41">IF(OR(AND(F41&lt;H41,OR(AND(OR($B41&lt;&gt;Ref!$A$7,$H$56&gt;0),OR($B41&lt;&gt;Ref!$A$8,$H$57&gt;0)),COUNT(SEARCH(Sonderarbeit,$N41))&gt;=1)),C41="Ausgleich"),H41-F41,"")</f>
        <v/>
      </c>
      <c r="K41" s="166" t="str">
        <f>IF(AND(B41=Ref!$A$8,SUM(I35:I41)&lt;SUM(J35:J41)),"-","")</f>
        <v/>
      </c>
      <c r="L41" s="167" t="str">
        <f>IF(B41=Ref!$A$8,ABS(SUM(I35:I41)-SUM(J35:J41)),"")</f>
        <v/>
      </c>
    </row>
    <row r="42" spans="1:14" ht="17.45" customHeight="1" x14ac:dyDescent="0.35">
      <c r="A42" s="155">
        <v>24</v>
      </c>
      <c r="B42" s="156" t="str">
        <f t="shared" si="1"/>
        <v>Freitag</v>
      </c>
      <c r="C42" s="157">
        <v>0.35416666666666669</v>
      </c>
      <c r="D42" s="157">
        <v>0.70833333333333337</v>
      </c>
      <c r="E42" s="157">
        <v>2.0833333333333332E-2</v>
      </c>
      <c r="F42" s="158">
        <f>IF(ISTEXT(C42),,D42-C42-E42)</f>
        <v>0.33333333333333337</v>
      </c>
      <c r="G42" s="159"/>
      <c r="H42" s="160">
        <f t="shared" si="2"/>
        <v>0.3125</v>
      </c>
      <c r="I42" s="161" cm="1">
        <f t="array" ref="I42">IF(AND(F42&gt;H42,OR(AND(OR($B42&lt;&gt;Ref!$A$7,$H$56&gt;0),OR($B42&lt;&gt;Ref!$A$8,$H$57&gt;0)),COUNT(SEARCH(Sonderarbeit,$N42))&gt;=1),ISNONTEXT(C42),C42&lt;&gt;""),F42-H42,"")</f>
        <v>2.083333333333337E-2</v>
      </c>
      <c r="J42" s="162" t="str" cm="1">
        <f t="array" ref="J42">IF(OR(AND(F42&lt;H42,OR(AND(OR($B42&lt;&gt;Ref!$A$7,$H$56&gt;0),OR($B42&lt;&gt;Ref!$A$8,$H$57&gt;0)),COUNT(SEARCH(Sonderarbeit,$N42))&gt;=1)),C42="Ausgleich"),H42-F42,"")</f>
        <v/>
      </c>
      <c r="K42" s="166" t="str">
        <f>IF(AND(B42=Ref!$A$8,SUM(I36:I42)&lt;SUM(J36:J42)),"-","")</f>
        <v/>
      </c>
      <c r="L42" s="167" t="str">
        <f>IF(B42=Ref!$A$8,ABS(SUM(I36:I42)-SUM(J36:J42)),"")</f>
        <v/>
      </c>
    </row>
    <row r="43" spans="1:14" ht="17.45" customHeight="1" x14ac:dyDescent="0.35">
      <c r="A43" s="155">
        <v>25</v>
      </c>
      <c r="B43" s="156" t="str">
        <f t="shared" si="1"/>
        <v>Samstag</v>
      </c>
      <c r="C43" s="157">
        <v>0.35416666666666669</v>
      </c>
      <c r="D43" s="157">
        <v>0.70833333333333337</v>
      </c>
      <c r="E43" s="157">
        <v>2.0833333333333332E-2</v>
      </c>
      <c r="F43" s="158">
        <f>IF(ISTEXT(C43),,D43-C43-E43)</f>
        <v>0.33333333333333337</v>
      </c>
      <c r="G43" s="159"/>
      <c r="H43" s="160">
        <f t="shared" si="2"/>
        <v>0</v>
      </c>
      <c r="I43" s="161" t="str" cm="1">
        <f t="array" ref="I43">IF(AND(F43&gt;H43,OR(AND(OR($B43&lt;&gt;Ref!$A$7,$H$56&gt;0),OR($B43&lt;&gt;Ref!$A$8,$H$57&gt;0)),COUNT(SEARCH(Sonderarbeit,$N43))&gt;=1),ISNONTEXT(C43),C43&lt;&gt;""),F43-H43,"")</f>
        <v/>
      </c>
      <c r="J43" s="162" t="str" cm="1">
        <f t="array" ref="J43">IF(OR(AND(F43&lt;H43,OR(AND(OR($B43&lt;&gt;Ref!$A$7,$H$56&gt;0),OR($B43&lt;&gt;Ref!$A$8,$H$57&gt;0)),COUNT(SEARCH(Sonderarbeit,$N43))&gt;=1)),C43="Ausgleich"),H43-F43,"")</f>
        <v/>
      </c>
      <c r="K43" s="166" t="str">
        <f>IF(AND(B43=Ref!$A$8,SUM(I37:I43)&lt;SUM(J37:J43)),"-","")</f>
        <v/>
      </c>
      <c r="L43" s="167" t="str">
        <f>IF(B43=Ref!$A$8,ABS(SUM(I37:I43)-SUM(J37:J43)),"")</f>
        <v/>
      </c>
    </row>
    <row r="44" spans="1:14" ht="17.45" customHeight="1" x14ac:dyDescent="0.35">
      <c r="A44" s="155">
        <v>26</v>
      </c>
      <c r="B44" s="156" t="str">
        <f t="shared" si="1"/>
        <v>Sonntag</v>
      </c>
      <c r="C44" s="157">
        <v>0.35416666666666669</v>
      </c>
      <c r="D44" s="157">
        <v>0.70833333333333337</v>
      </c>
      <c r="E44" s="157">
        <v>2.0833333333333332E-2</v>
      </c>
      <c r="F44" s="158">
        <f>IF(ISTEXT(C44),,D44-C44-E44)</f>
        <v>0.33333333333333337</v>
      </c>
      <c r="G44" s="159"/>
      <c r="H44" s="160">
        <f t="shared" si="2"/>
        <v>0</v>
      </c>
      <c r="I44" s="161" t="str" cm="1">
        <f t="array" ref="I44">IF(AND(F44&gt;H44,OR(AND(OR($B44&lt;&gt;Ref!$A$7,$H$56&gt;0),OR($B44&lt;&gt;Ref!$A$8,$H$57&gt;0)),COUNT(SEARCH(Sonderarbeit,$N44))&gt;=1),ISNONTEXT(C44),C44&lt;&gt;""),F44-H44,"")</f>
        <v/>
      </c>
      <c r="J44" s="162" t="str" cm="1">
        <f t="array" ref="J44">IF(OR(AND(F44&lt;H44,OR(AND(OR($B44&lt;&gt;Ref!$A$7,$H$56&gt;0),OR($B44&lt;&gt;Ref!$A$8,$H$57&gt;0)),COUNT(SEARCH(Sonderarbeit,$N44))&gt;=1)),C44="Ausgleich"),H44-F44,"")</f>
        <v/>
      </c>
      <c r="K44" s="166" t="str">
        <f>IF(AND(B44=Ref!$A$8,SUM(I38:I44)&lt;SUM(J38:J44)),"-","")</f>
        <v/>
      </c>
      <c r="L44" s="167">
        <f>IF(B44=Ref!$A$8,ABS(SUM(I38:I44)-SUM(J38:J44)),"")</f>
        <v>2.083333333333337E-2</v>
      </c>
    </row>
    <row r="45" spans="1:14" ht="17.45" customHeight="1" x14ac:dyDescent="0.35">
      <c r="A45" s="155">
        <v>27</v>
      </c>
      <c r="B45" s="156" t="str">
        <f t="shared" si="1"/>
        <v>Montag</v>
      </c>
      <c r="C45" s="157">
        <v>0.35416666666666669</v>
      </c>
      <c r="D45" s="157">
        <v>0.70833333333333337</v>
      </c>
      <c r="E45" s="157">
        <v>2.0833333333333332E-2</v>
      </c>
      <c r="F45" s="158">
        <f>IF(ISTEXT(C45),,D45-C45-E45)</f>
        <v>0.33333333333333337</v>
      </c>
      <c r="G45" s="159"/>
      <c r="H45" s="160">
        <f t="shared" si="2"/>
        <v>0.33333333333333331</v>
      </c>
      <c r="I45" s="161" t="str" cm="1">
        <f t="array" ref="I45">IF(AND(F45&gt;H45,OR(AND(OR($B45&lt;&gt;Ref!$A$7,$H$56&gt;0),OR($B45&lt;&gt;Ref!$A$8,$H$57&gt;0)),COUNT(SEARCH(Sonderarbeit,$N45))&gt;=1),ISNONTEXT(C45),C45&lt;&gt;""),F45-H45,"")</f>
        <v/>
      </c>
      <c r="J45" s="162" t="str" cm="1">
        <f t="array" ref="J45">IF(OR(AND(F45&lt;H45,OR(AND(OR($B45&lt;&gt;Ref!$A$7,$H$56&gt;0),OR($B45&lt;&gt;Ref!$A$8,$H$57&gt;0)),COUNT(SEARCH(Sonderarbeit,$N45))&gt;=1)),C45="Ausgleich"),H45-F45,"")</f>
        <v/>
      </c>
      <c r="K45" s="166" t="str">
        <f>IF(AND(B45=Ref!$A$8,SUM(I39:I45)&lt;SUM(J39:J45)),"-","")</f>
        <v/>
      </c>
      <c r="L45" s="167" t="str">
        <f>IF(B45=Ref!$A$8,ABS(SUM(I39:I45)-SUM(J39:J45)),"")</f>
        <v/>
      </c>
    </row>
    <row r="46" spans="1:14" ht="17.45" customHeight="1" x14ac:dyDescent="0.35">
      <c r="A46" s="155">
        <v>28</v>
      </c>
      <c r="B46" s="156" t="str">
        <f t="shared" si="1"/>
        <v>Dienstag</v>
      </c>
      <c r="C46" s="157">
        <v>0.35416666666666669</v>
      </c>
      <c r="D46" s="157">
        <v>0.70833333333333337</v>
      </c>
      <c r="E46" s="157">
        <v>2.0833333333333332E-2</v>
      </c>
      <c r="F46" s="158">
        <f>IF(ISTEXT(C46),,D46-C46-E46)</f>
        <v>0.33333333333333337</v>
      </c>
      <c r="G46" s="159"/>
      <c r="H46" s="160">
        <f t="shared" si="2"/>
        <v>0.33333333333333331</v>
      </c>
      <c r="I46" s="161" t="str" cm="1">
        <f t="array" ref="I46">IF(AND(F46&gt;H46,OR(AND(OR($B46&lt;&gt;Ref!$A$7,$H$56&gt;0),OR($B46&lt;&gt;Ref!$A$8,$H$57&gt;0)),COUNT(SEARCH(Sonderarbeit,$N46))&gt;=1),ISNONTEXT(C46),C46&lt;&gt;""),F46-H46,"")</f>
        <v/>
      </c>
      <c r="J46" s="162" t="str" cm="1">
        <f t="array" ref="J46">IF(OR(AND(F46&lt;H46,OR(AND(OR($B46&lt;&gt;Ref!$A$7,$H$56&gt;0),OR($B46&lt;&gt;Ref!$A$8,$H$57&gt;0)),COUNT(SEARCH(Sonderarbeit,$N46))&gt;=1)),C46="Ausgleich"),H46-F46,"")</f>
        <v/>
      </c>
      <c r="K46" s="166" t="str">
        <f>IF(AND(B46=Ref!$A$8,SUM(I40:I46)&lt;SUM(J40:J46)),"-","")</f>
        <v/>
      </c>
      <c r="L46" s="167" t="str">
        <f>IF(B46=Ref!$A$8,ABS(SUM(I40:I46)-SUM(J40:J46)),"")</f>
        <v/>
      </c>
    </row>
    <row r="47" spans="1:14" ht="17.45" customHeight="1" x14ac:dyDescent="0.35">
      <c r="A47" s="155">
        <v>29</v>
      </c>
      <c r="B47" s="156" t="str">
        <f t="shared" si="1"/>
        <v>Mittwoch</v>
      </c>
      <c r="C47" s="157">
        <v>0.35416666666666669</v>
      </c>
      <c r="D47" s="157">
        <v>0.70833333333333337</v>
      </c>
      <c r="E47" s="157">
        <v>2.0833333333333332E-2</v>
      </c>
      <c r="F47" s="158">
        <f>IF(ISTEXT(C47),,D47-C47-E47)</f>
        <v>0.33333333333333337</v>
      </c>
      <c r="G47" s="159"/>
      <c r="H47" s="160">
        <f t="shared" si="2"/>
        <v>0.33333333333333331</v>
      </c>
      <c r="I47" s="161" t="str" cm="1">
        <f t="array" ref="I47">IF(AND(F47&gt;H47,OR(AND(OR($B47&lt;&gt;Ref!$A$7,$H$56&gt;0),OR($B47&lt;&gt;Ref!$A$8,$H$57&gt;0)),COUNT(SEARCH(Sonderarbeit,$N47))&gt;=1),ISNONTEXT(C47),C47&lt;&gt;""),F47-H47,"")</f>
        <v/>
      </c>
      <c r="J47" s="162" t="str" cm="1">
        <f t="array" ref="J47">IF(OR(AND(F47&lt;H47,OR(AND(OR($B47&lt;&gt;Ref!$A$7,$H$56&gt;0),OR($B47&lt;&gt;Ref!$A$8,$H$57&gt;0)),COUNT(SEARCH(Sonderarbeit,$N47))&gt;=1)),C47="Ausgleich"),H47-F47,"")</f>
        <v/>
      </c>
      <c r="K47" s="166" t="str">
        <f>IF(AND(B47=Ref!$A$8,SUM(I41:I47)&lt;SUM(J41:J47)),"-","")</f>
        <v/>
      </c>
      <c r="L47" s="167" t="str">
        <f>IF(B47=Ref!$A$8,ABS(SUM(I41:I47)-SUM(J41:J47)),"")</f>
        <v/>
      </c>
    </row>
    <row r="48" spans="1:14" ht="17.45" customHeight="1" x14ac:dyDescent="0.35">
      <c r="A48" s="155">
        <v>30</v>
      </c>
      <c r="B48" s="156" t="str">
        <f t="shared" si="1"/>
        <v>Donnerstag</v>
      </c>
      <c r="C48" s="157">
        <v>0.35416666666666669</v>
      </c>
      <c r="D48" s="157">
        <v>0.70833333333333337</v>
      </c>
      <c r="E48" s="157">
        <v>2.0833333333333332E-2</v>
      </c>
      <c r="F48" s="158">
        <f>IF(ISTEXT(C48),,D48-C48-E48)</f>
        <v>0.33333333333333337</v>
      </c>
      <c r="G48" s="159"/>
      <c r="H48" s="160">
        <f t="shared" si="2"/>
        <v>0.33333333333333331</v>
      </c>
      <c r="I48" s="161" t="str" cm="1">
        <f t="array" ref="I48">IF(AND(F48&gt;H48,OR(AND(OR($B48&lt;&gt;Ref!$A$7,$H$56&gt;0),OR($B48&lt;&gt;Ref!$A$8,$H$57&gt;0)),COUNT(SEARCH(Sonderarbeit,$N48))&gt;=1),ISNONTEXT(C48),C48&lt;&gt;""),F48-H48,"")</f>
        <v/>
      </c>
      <c r="J48" s="162" t="str" cm="1">
        <f t="array" ref="J48">IF(OR(AND(F48&lt;H48,OR(AND(OR($B48&lt;&gt;Ref!$A$7,$H$56&gt;0),OR($B48&lt;&gt;Ref!$A$8,$H$57&gt;0)),COUNT(SEARCH(Sonderarbeit,$N48))&gt;=1)),C48="Ausgleich"),H48-F48,"")</f>
        <v/>
      </c>
      <c r="K48" s="166" t="str">
        <f>IF(AND(B48=Ref!$A$8,SUM(I42:I48)&lt;SUM(J42:J48)),"-","")</f>
        <v/>
      </c>
      <c r="L48" s="167" t="str">
        <f>IF(B48=Ref!$A$8,ABS(SUM(I42:I48)-SUM(J42:J48)),"")</f>
        <v/>
      </c>
      <c r="N48" s="100" t="s">
        <v>122</v>
      </c>
    </row>
    <row r="49" spans="1:14" ht="17.45" customHeight="1" x14ac:dyDescent="0.35">
      <c r="A49" s="155">
        <v>31</v>
      </c>
      <c r="B49" s="156" t="str">
        <f t="shared" si="1"/>
        <v>Freitag</v>
      </c>
      <c r="C49" s="157">
        <v>0.35416666666666669</v>
      </c>
      <c r="D49" s="157">
        <v>0.70833333333333337</v>
      </c>
      <c r="E49" s="157">
        <v>2.0833333333333332E-2</v>
      </c>
      <c r="F49" s="170">
        <f>IF(ISTEXT(C49),,D49-C49-E49)</f>
        <v>0.33333333333333337</v>
      </c>
      <c r="G49" s="171"/>
      <c r="H49" s="160">
        <f t="shared" si="2"/>
        <v>0.3125</v>
      </c>
      <c r="I49" s="161" cm="1">
        <f t="array" ref="I49">IF(AND(F49&gt;H49,OR(AND(OR($B49&lt;&gt;Ref!$A$7,$H$56&gt;0),OR($B49&lt;&gt;Ref!$A$8,$H$57&gt;0)),COUNT(SEARCH(Sonderarbeit,$N49))&gt;=1),ISNONTEXT(C49),C49&lt;&gt;""),F49-H49,"")</f>
        <v>2.083333333333337E-2</v>
      </c>
      <c r="J49" s="162" t="str" cm="1">
        <f t="array" ref="J49">IF(OR(AND(F49&lt;H49,OR(AND(OR($B49&lt;&gt;Ref!$A$7,$H$56&gt;0),OR($B49&lt;&gt;Ref!$A$8,$H$57&gt;0)),COUNT(SEARCH(Sonderarbeit,$N49))&gt;=1)),C49="Ausgleich"),H49-F49,"")</f>
        <v/>
      </c>
      <c r="K49" s="172" t="str">
        <f ca="1">IF(SUM(INDIRECT("I"&amp;ROW()-WEEKDAY(DATE(J$11,MONTH(I$11),A49),3)):I49) &lt; SUM(INDIRECT("j"&amp;ROW()-WEEKDAY(DATE(J$11,MONTH(I$11),A49),3)):J49),"-","")</f>
        <v/>
      </c>
      <c r="L49" s="173">
        <f ca="1">ABS(SUM(INDIRECT("I"&amp;ROW()-WEEKDAY(DATE(J$11,MONTH(I$11),A49),3)):I49)-SUM(INDIRECT("j"&amp;ROW()-WEEKDAY(DATE(J$11,MONTH(I$11),A49))):J49))</f>
        <v>2.083333333333337E-2</v>
      </c>
      <c r="N49" s="174"/>
    </row>
    <row r="50" spans="1:14" s="183" customFormat="1" ht="17.45" customHeight="1" thickBot="1" x14ac:dyDescent="0.4">
      <c r="A50" s="175" t="str">
        <f>Jan!A50</f>
        <v>Sonstige Zeiten laut beigefügter Aufstellung (s. Anlage):</v>
      </c>
      <c r="B50" s="176"/>
      <c r="C50" s="177"/>
      <c r="D50" s="178"/>
      <c r="E50" s="178"/>
      <c r="F50" s="178"/>
      <c r="G50" s="178"/>
      <c r="H50" s="179"/>
      <c r="I50" s="180">
        <v>0</v>
      </c>
      <c r="J50" s="180">
        <v>0</v>
      </c>
      <c r="K50" s="181"/>
      <c r="L50" s="182"/>
      <c r="M50" s="99"/>
      <c r="N50" s="100"/>
    </row>
    <row r="51" spans="1:14" x14ac:dyDescent="0.2">
      <c r="A51" s="184" t="s">
        <v>3</v>
      </c>
      <c r="B51" s="184"/>
      <c r="C51" s="184"/>
      <c r="D51" s="184"/>
      <c r="H51" s="280">
        <f>Jun!H50</f>
        <v>0.33333333333333331</v>
      </c>
      <c r="I51" s="185">
        <f>SUM(I17:I50)</f>
        <v>1.2708333333333348</v>
      </c>
      <c r="J51" s="186">
        <f>SUM(J17:J50)</f>
        <v>0</v>
      </c>
      <c r="K51" s="187" t="str">
        <f ca="1">IF(SUMIF(K19:K49,"",L19:L49)&lt;SUMIF(K19:K49,"-",L19:L49),"-","")</f>
        <v/>
      </c>
      <c r="L51" s="188">
        <f ca="1">ABS(SUMIF(K19:K49,"",L19:L49)-SUMIF(K19:K49,"-",L19:L49))</f>
        <v>0.43750000000000022</v>
      </c>
    </row>
    <row r="52" spans="1:14" ht="13.5" thickBot="1" x14ac:dyDescent="0.25">
      <c r="A52" s="189"/>
      <c r="B52" s="189"/>
      <c r="C52" s="189"/>
      <c r="D52" s="189"/>
      <c r="G52" s="190" t="s">
        <v>12</v>
      </c>
      <c r="H52" s="281">
        <f>Jun!H51</f>
        <v>0.33333333333333331</v>
      </c>
      <c r="I52" s="191"/>
      <c r="J52" s="192"/>
      <c r="K52" s="193"/>
      <c r="L52" s="194"/>
    </row>
    <row r="53" spans="1:14" x14ac:dyDescent="0.2">
      <c r="A53" s="189"/>
      <c r="B53" s="189"/>
      <c r="C53" s="189"/>
      <c r="D53" s="189"/>
      <c r="G53" s="195"/>
      <c r="H53" s="281">
        <f>Jun!H52</f>
        <v>0.33333333333333331</v>
      </c>
      <c r="I53" s="196">
        <f>IF(I51&gt;J51,I51-J51,0)</f>
        <v>1.2708333333333348</v>
      </c>
      <c r="J53" s="197" t="str">
        <f>IF(J51&gt;I51,J51-I51,"")</f>
        <v/>
      </c>
      <c r="K53" s="198"/>
      <c r="L53" s="198"/>
    </row>
    <row r="54" spans="1:14" ht="13.5" thickBot="1" x14ac:dyDescent="0.25">
      <c r="A54" s="199" t="s">
        <v>15</v>
      </c>
      <c r="B54" s="199"/>
      <c r="C54" s="199"/>
      <c r="D54" s="199"/>
      <c r="E54" s="200"/>
      <c r="F54" s="200"/>
      <c r="G54" s="190" t="s">
        <v>13</v>
      </c>
      <c r="H54" s="281">
        <f>Jun!H53</f>
        <v>0.33333333333333331</v>
      </c>
      <c r="I54" s="201"/>
      <c r="J54" s="202"/>
      <c r="K54" s="198"/>
      <c r="L54" s="198"/>
    </row>
    <row r="55" spans="1:14" ht="13.5" thickBot="1" x14ac:dyDescent="0.25">
      <c r="A55" s="203" t="s">
        <v>4</v>
      </c>
      <c r="B55" s="203"/>
      <c r="C55" s="203"/>
      <c r="D55" s="203"/>
      <c r="E55" s="200"/>
      <c r="F55" s="200"/>
      <c r="G55" s="200"/>
      <c r="H55" s="281">
        <f>Jun!H54</f>
        <v>0.3125</v>
      </c>
      <c r="I55" s="200"/>
      <c r="J55" s="200"/>
      <c r="K55" s="204"/>
      <c r="L55" s="204"/>
    </row>
    <row r="56" spans="1:14" ht="13.35" customHeight="1" x14ac:dyDescent="0.2">
      <c r="A56" s="189"/>
      <c r="B56" s="189"/>
      <c r="C56" s="189"/>
      <c r="D56" s="189"/>
      <c r="E56" s="205" t="str">
        <f>Jan!E56</f>
        <v xml:space="preserve"> </v>
      </c>
      <c r="F56" s="206"/>
      <c r="G56" s="207" t="str">
        <f>IF(E56=" ", " ", IF(Mantelbogen!D26=I11,Mantelbogen!C29,Jun!G57))</f>
        <v xml:space="preserve"> </v>
      </c>
      <c r="H56" s="282">
        <v>0</v>
      </c>
      <c r="I56" s="223" t="s">
        <v>133</v>
      </c>
      <c r="J56" s="224"/>
      <c r="K56" s="204"/>
      <c r="L56" s="204"/>
    </row>
    <row r="57" spans="1:14" ht="13.5" thickBot="1" x14ac:dyDescent="0.25">
      <c r="A57" s="189"/>
      <c r="B57" s="189"/>
      <c r="C57" s="189"/>
      <c r="D57" s="189"/>
      <c r="E57" s="205" t="str">
        <f>Jan!E57</f>
        <v xml:space="preserve"> </v>
      </c>
      <c r="F57" s="207"/>
      <c r="G57" s="207" t="str">
        <f>IF(E56=" ", " ", -COUNTIF(C19:C49, "Urlaub*" ))</f>
        <v xml:space="preserve"> </v>
      </c>
      <c r="H57" s="283">
        <v>0</v>
      </c>
      <c r="I57" s="225"/>
      <c r="J57" s="226"/>
      <c r="K57" s="204"/>
      <c r="L57" s="208"/>
      <c r="M57" s="209"/>
    </row>
    <row r="58" spans="1:14" ht="21.95" customHeight="1" thickBot="1" x14ac:dyDescent="0.25">
      <c r="A58" s="199" t="s">
        <v>10</v>
      </c>
      <c r="B58" s="199"/>
      <c r="C58" s="199"/>
      <c r="D58" s="199"/>
      <c r="E58" s="205" t="str">
        <f>Jan!E58</f>
        <v xml:space="preserve"> </v>
      </c>
      <c r="F58" s="210"/>
      <c r="G58" s="211" t="str">
        <f>IF(E56=" ", " ", IF(Mantelbogen!C29 &gt; 0.0001, G56+G57, 0))</f>
        <v xml:space="preserve"> </v>
      </c>
      <c r="H58" s="287">
        <f>SUM(H51:H57)</f>
        <v>1.6458333333333333</v>
      </c>
      <c r="I58" s="227"/>
      <c r="J58" s="228"/>
      <c r="L58" s="212" t="str">
        <f>Mantelbogen!D50</f>
        <v>15.12.2025  HAdW / G. Wolff</v>
      </c>
      <c r="M58" s="209"/>
    </row>
    <row r="59" spans="1:14" x14ac:dyDescent="0.2">
      <c r="F59" s="213"/>
    </row>
    <row r="60" spans="1:14" x14ac:dyDescent="0.2">
      <c r="G60" s="214"/>
      <c r="H60" s="214"/>
      <c r="I60" s="214"/>
      <c r="J60" s="207"/>
    </row>
  </sheetData>
  <sheetProtection algorithmName="SHA-512" hashValue="fU7pZ0W1BtSKM9LOe6FMiIAlD4slkg+Gn/9Nyk2vl+57f/eRQJN1TZJR2X3jfp3dBReCUdSmc54tZ60MjryoaQ==" saltValue="56To9fAlK+jrqDnngCd/wA==" spinCount="100000" sheet="1" objects="1" scenarios="1"/>
  <mergeCells count="64">
    <mergeCell ref="M15:M16"/>
    <mergeCell ref="A11:B11"/>
    <mergeCell ref="A13:B13"/>
    <mergeCell ref="A15:A18"/>
    <mergeCell ref="B15:B18"/>
    <mergeCell ref="G1:J7"/>
    <mergeCell ref="I15:J15"/>
    <mergeCell ref="C15:C18"/>
    <mergeCell ref="D15:D18"/>
    <mergeCell ref="E15:E18"/>
    <mergeCell ref="J17:J18"/>
    <mergeCell ref="A1:F2"/>
    <mergeCell ref="A3:F3"/>
    <mergeCell ref="A4:F6"/>
    <mergeCell ref="F28:G28"/>
    <mergeCell ref="H15:H18"/>
    <mergeCell ref="I17:I18"/>
    <mergeCell ref="F20:G20"/>
    <mergeCell ref="F21:G21"/>
    <mergeCell ref="F22:G22"/>
    <mergeCell ref="F23:G23"/>
    <mergeCell ref="F15:G18"/>
    <mergeCell ref="F24:G24"/>
    <mergeCell ref="F25:G25"/>
    <mergeCell ref="F26:G26"/>
    <mergeCell ref="F27:G27"/>
    <mergeCell ref="F19:G19"/>
    <mergeCell ref="F32:G32"/>
    <mergeCell ref="F33:G33"/>
    <mergeCell ref="F34:G34"/>
    <mergeCell ref="F35:G35"/>
    <mergeCell ref="F29:G29"/>
    <mergeCell ref="F30:G30"/>
    <mergeCell ref="F31:G31"/>
    <mergeCell ref="F43:G43"/>
    <mergeCell ref="F36:G36"/>
    <mergeCell ref="F37:G37"/>
    <mergeCell ref="F38:G38"/>
    <mergeCell ref="F39:G39"/>
    <mergeCell ref="A54:D54"/>
    <mergeCell ref="G60:I60"/>
    <mergeCell ref="A55:D55"/>
    <mergeCell ref="A56:D57"/>
    <mergeCell ref="I56:J58"/>
    <mergeCell ref="A58:D58"/>
    <mergeCell ref="J53:J54"/>
    <mergeCell ref="I53:I54"/>
    <mergeCell ref="A52:D53"/>
    <mergeCell ref="F48:G48"/>
    <mergeCell ref="F49:G49"/>
    <mergeCell ref="A51:D51"/>
    <mergeCell ref="I51:I52"/>
    <mergeCell ref="K15:L16"/>
    <mergeCell ref="K17:L18"/>
    <mergeCell ref="K51:K52"/>
    <mergeCell ref="L51:L52"/>
    <mergeCell ref="J51:J52"/>
    <mergeCell ref="F44:G44"/>
    <mergeCell ref="F45:G45"/>
    <mergeCell ref="F46:G46"/>
    <mergeCell ref="F47:G47"/>
    <mergeCell ref="F40:G40"/>
    <mergeCell ref="F41:G41"/>
    <mergeCell ref="F42:G42"/>
  </mergeCells>
  <phoneticPr fontId="0" type="noConversion"/>
  <conditionalFormatting sqref="A19:A49 C19:L49">
    <cfRule type="expression" dxfId="84" priority="1">
      <formula>COUNT(SEARCH(Sonderarbeit,$N19))&gt;=1</formula>
    </cfRule>
  </conditionalFormatting>
  <conditionalFormatting sqref="A19:L49">
    <cfRule type="expression" dxfId="83" priority="5">
      <formula>AND(ISTEXT($C19),$C19&lt;&gt;"Kinderkrankentag",$C19&lt;&gt;"Urlaub",$C19&lt;&gt;"Krank",$C19&lt;&gt;"Ausgleich")</formula>
    </cfRule>
  </conditionalFormatting>
  <conditionalFormatting sqref="C19:C49">
    <cfRule type="expression" dxfId="81" priority="7">
      <formula>ISTEXT($C19)</formula>
    </cfRule>
  </conditionalFormatting>
  <conditionalFormatting sqref="D19:H49">
    <cfRule type="expression" dxfId="77" priority="4">
      <formula>AND(ISTEXT($C19),OR($C19="Kinderkrankentag",$C19="Urlaub",$C19="Krank",$C19="Ausgleich"))</formula>
    </cfRule>
  </conditionalFormatting>
  <conditionalFormatting sqref="D19:J49">
    <cfRule type="expression" dxfId="76" priority="3">
      <formula>AND(ISTEXT($C19),$C19&lt;&gt;"Kinderkrankentag",$C19&lt;&gt;"Urlaub",$C19&lt;&gt;"Krank",$C19&lt;&gt;"Ausgleich")</formula>
    </cfRule>
  </conditionalFormatting>
  <conditionalFormatting sqref="F19:F49">
    <cfRule type="expression" dxfId="74" priority="11">
      <formula>AND(ISNONTEXT($C19),$F19 &gt; 0.666667)</formula>
    </cfRule>
  </conditionalFormatting>
  <dataValidations disablePrompts="1" count="1">
    <dataValidation type="custom" errorStyle="warning" allowBlank="1" showErrorMessage="1" errorTitle="Samstagsarbeit" error="Tragen Sie hier bitte nur etwas ein, wenn Sie tatsächlich REGELMÄßIG und angeordnet Samstag arbeiten. Ansonsten tragen Sie bitte am entsprechenden Tag in Spalte N „Samstagsarbeit“ ein und der entsprechende Tag wird verfügbar." promptTitle="Samstagsarbeit" prompt="Tragen Sie hier bitte nur etwas ein, wenn Sie tatsächlich REGELMÄßIG und angeordnet Samstag arbeiten. Ansonsten tragen Sie bitte am entsprechenden Tag in Spalte N „Samstagsarbeit“ ein und der entsprechende Tag wird verfügbar." sqref="H56" xr:uid="{F160A0FA-58CB-4099-BF36-9638660148B2}">
      <formula1>$A$4="Arbeitszeitblatt"</formula1>
    </dataValidation>
  </dataValidations>
  <printOptions horizontalCentered="1" verticalCentered="1"/>
  <pageMargins left="1.0236220472440944" right="0.23622047244094491" top="0.15748031496062992" bottom="0.19685039370078741" header="0.15748031496062992" footer="0.15748031496062992"/>
  <pageSetup paperSize="9" scale="82" orientation="portrait" horizontalDpi="1200" verticalDpi="1200"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 id="{F484A6D9-038F-4F63-B947-F8E0F456E667}">
            <xm:f>OR(AND($B19=Ref!$A$7,$H$56=0), AND($B19=Ref!$A$8,$H$57=0), NOT( ISERROR(FIND("feiertag",LOWER($C19)) ) ) )</xm:f>
            <x14:dxf>
              <fill>
                <patternFill patternType="solid">
                  <bgColor theme="4" tint="0.79998168889431442"/>
                </patternFill>
              </fill>
            </x14:dxf>
          </x14:cfRule>
          <xm:sqref>A19:L49</xm:sqref>
        </x14:conditionalFormatting>
        <x14:conditionalFormatting xmlns:xm="http://schemas.microsoft.com/office/excel/2006/main">
          <x14:cfRule type="expression" priority="9" id="{FDF0866D-4404-4E53-A73B-AD74CDCE1411}">
            <xm:f>AND($B19=Ref!$A$7, $H$56&gt;0.00001)</xm:f>
            <x14:dxf>
              <font>
                <b val="0"/>
                <i val="0"/>
                <color theme="1"/>
              </font>
              <fill>
                <patternFill patternType="none">
                  <bgColor auto="1"/>
                </patternFill>
              </fill>
            </x14:dxf>
          </x14:cfRule>
          <x14:cfRule type="expression" priority="10" id="{C2EEA7F4-BB4D-4B82-AF26-FCEA4DA3E90C}">
            <xm:f>AND($B19=Ref!$A$8, $H$57&gt;0.00001)</xm:f>
            <x14:dxf>
              <font>
                <b val="0"/>
                <i val="0"/>
              </font>
              <fill>
                <patternFill patternType="none">
                  <bgColor auto="1"/>
                </patternFill>
              </fill>
            </x14:dxf>
          </x14:cfRule>
          <xm:sqref>C19:I49</xm:sqref>
        </x14:conditionalFormatting>
        <x14:conditionalFormatting xmlns:xm="http://schemas.microsoft.com/office/excel/2006/main">
          <x14:cfRule type="expression" priority="8" id="{9F752FFE-33DC-4820-913C-38C4D965571D}">
            <xm:f>OR(AND($B19=Ref!$A$7, $H$56&lt;0.00001),AND($B19=Ref!$A$8, $H$57&lt;0.00001))</xm:f>
            <x14:dxf>
              <font>
                <color theme="4" tint="0.79998168889431442"/>
              </font>
              <fill>
                <patternFill>
                  <bgColor theme="4" tint="0.79998168889431442"/>
                </patternFill>
              </fill>
            </x14:dxf>
          </x14:cfRule>
          <xm:sqref>C19:J49</xm:sqref>
        </x14:conditionalFormatting>
        <x14:conditionalFormatting xmlns:xm="http://schemas.microsoft.com/office/excel/2006/main">
          <x14:cfRule type="expression" priority="2" id="{D95DE8E9-D1D7-469C-A92F-C0BE6292623F}">
            <xm:f>AND(OR(AND($F19 &gt; 0.250001, $E19 &lt; 0.020833332), AND($F19 &gt; 0.375, $E19 &lt; 0.03124999)  ),OR(AND($B19&lt;&gt;Ref!$A$7, $B19&lt;&gt;Ref!$A$8),COUNT(SEARCH(Sonderarbeit,$N19))&gt;=1),ISNUMBER($C19))</xm:f>
            <x14:dxf>
              <fill>
                <patternFill>
                  <bgColor rgb="FFFF0000"/>
                </patternFill>
              </fill>
            </x14:dxf>
          </x14:cfRule>
          <xm:sqref>E19:E49</xm:sqref>
        </x14:conditionalFormatting>
      </x14:conditionalFormattings>
    </ext>
    <ext xmlns:x14="http://schemas.microsoft.com/office/spreadsheetml/2009/9/main" uri="{CCE6A557-97BC-4b89-ADB6-D9C93CAAB3DF}">
      <x14:dataValidations xmlns:xm="http://schemas.microsoft.com/office/excel/2006/main" disablePrompts="1" count="1">
        <x14:dataValidation type="custom" errorStyle="information" allowBlank="1" showInputMessage="1" showErrorMessage="1" errorTitle="Samstagsarbeit" error="Tragen Sie hier bitte nur die tasächlich angefallene Arbeit ein. Tragen Sie ggf. anfallende Zuschläge auf ein separates Tabellenblatt ein und übertragen diese in das Kästchen I50." xr:uid="{2FF35426-B45A-42E4-81B4-DEBD8AA57551}">
          <x14:formula1>
            <xm:f>NOT(OFFSET(C19,0,2-COLUMN(C19))=Ref!$A$7)</xm:f>
          </x14:formula1>
          <xm:sqref>C19:E49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pageSetUpPr fitToPage="1"/>
  </sheetPr>
  <dimension ref="A1:N60"/>
  <sheetViews>
    <sheetView zoomScaleNormal="100" workbookViewId="0">
      <selection sqref="A1:F2"/>
    </sheetView>
  </sheetViews>
  <sheetFormatPr defaultColWidth="11.5703125" defaultRowHeight="12.75" x14ac:dyDescent="0.2"/>
  <cols>
    <col min="1" max="1" width="5.5703125" style="125" customWidth="1"/>
    <col min="2" max="2" width="9.85546875" style="102" bestFit="1" customWidth="1"/>
    <col min="3" max="3" width="15.7109375" style="102" bestFit="1" customWidth="1"/>
    <col min="4" max="4" width="13.7109375" style="102" bestFit="1" customWidth="1"/>
    <col min="5" max="5" width="11.28515625" style="98" customWidth="1"/>
    <col min="6" max="6" width="7.85546875" style="98" customWidth="1"/>
    <col min="7" max="7" width="3.5703125" style="98" customWidth="1"/>
    <col min="8" max="8" width="14.140625" style="98" bestFit="1" customWidth="1"/>
    <col min="9" max="9" width="11" style="98" bestFit="1" customWidth="1"/>
    <col min="10" max="10" width="12.140625" style="98" bestFit="1" customWidth="1"/>
    <col min="11" max="11" width="2.85546875" style="98" customWidth="1"/>
    <col min="12" max="12" width="8.85546875" style="98" customWidth="1"/>
    <col min="13" max="13" width="16.42578125" style="99" customWidth="1"/>
    <col min="14" max="14" width="19.42578125" style="100" bestFit="1" customWidth="1"/>
    <col min="15" max="16384" width="11.5703125" style="98"/>
  </cols>
  <sheetData>
    <row r="1" spans="1:14" ht="15" customHeight="1" x14ac:dyDescent="0.2">
      <c r="A1" s="215" t="s">
        <v>48</v>
      </c>
      <c r="B1" s="215"/>
      <c r="C1" s="215"/>
      <c r="D1" s="215"/>
      <c r="E1" s="215"/>
      <c r="F1" s="215"/>
      <c r="G1" s="97" t="s">
        <v>9</v>
      </c>
      <c r="H1" s="97"/>
      <c r="I1" s="97"/>
      <c r="J1" s="97"/>
    </row>
    <row r="2" spans="1:14" ht="15" customHeight="1" x14ac:dyDescent="0.2">
      <c r="A2" s="215"/>
      <c r="B2" s="215"/>
      <c r="C2" s="215"/>
      <c r="D2" s="215"/>
      <c r="E2" s="215"/>
      <c r="F2" s="215"/>
      <c r="G2" s="97"/>
      <c r="H2" s="97"/>
      <c r="I2" s="97"/>
      <c r="J2" s="97"/>
    </row>
    <row r="3" spans="1:14" x14ac:dyDescent="0.2">
      <c r="A3" s="216" t="s">
        <v>11</v>
      </c>
      <c r="B3" s="216"/>
      <c r="C3" s="216"/>
      <c r="D3" s="216"/>
      <c r="E3" s="216"/>
      <c r="F3" s="216"/>
      <c r="G3" s="97"/>
      <c r="H3" s="97"/>
      <c r="I3" s="97"/>
      <c r="J3" s="97"/>
    </row>
    <row r="4" spans="1:14" ht="13.35" customHeight="1" x14ac:dyDescent="0.2">
      <c r="A4" s="217" t="s">
        <v>5</v>
      </c>
      <c r="B4" s="217"/>
      <c r="C4" s="217"/>
      <c r="D4" s="217"/>
      <c r="E4" s="217"/>
      <c r="F4" s="217"/>
      <c r="G4" s="97"/>
      <c r="H4" s="97"/>
      <c r="I4" s="97"/>
      <c r="J4" s="97"/>
    </row>
    <row r="5" spans="1:14" ht="6" customHeight="1" x14ac:dyDescent="0.2">
      <c r="A5" s="217"/>
      <c r="B5" s="217"/>
      <c r="C5" s="217"/>
      <c r="D5" s="217"/>
      <c r="E5" s="217"/>
      <c r="F5" s="217"/>
      <c r="G5" s="97"/>
      <c r="H5" s="97"/>
      <c r="I5" s="97"/>
      <c r="J5" s="97"/>
    </row>
    <row r="6" spans="1:14" ht="13.35" customHeight="1" x14ac:dyDescent="0.2">
      <c r="A6" s="217"/>
      <c r="B6" s="217"/>
      <c r="C6" s="217"/>
      <c r="D6" s="217"/>
      <c r="E6" s="217"/>
      <c r="F6" s="217"/>
      <c r="G6" s="97"/>
      <c r="H6" s="97"/>
      <c r="I6" s="97"/>
      <c r="J6" s="97"/>
    </row>
    <row r="7" spans="1:14" ht="13.35" customHeight="1" x14ac:dyDescent="0.2">
      <c r="A7" s="102"/>
      <c r="B7" s="101"/>
      <c r="C7" s="101"/>
      <c r="D7" s="101"/>
      <c r="E7" s="101"/>
      <c r="F7" s="101"/>
      <c r="G7" s="97"/>
      <c r="H7" s="97"/>
      <c r="I7" s="97"/>
      <c r="J7" s="97"/>
    </row>
    <row r="8" spans="1:14" ht="6" customHeight="1" thickBot="1" x14ac:dyDescent="0.25">
      <c r="A8" s="103"/>
      <c r="B8" s="104"/>
      <c r="C8" s="104"/>
      <c r="D8" s="104"/>
      <c r="E8" s="105"/>
      <c r="F8" s="105"/>
      <c r="G8" s="105"/>
      <c r="H8" s="105"/>
      <c r="I8" s="106"/>
      <c r="J8" s="106"/>
      <c r="K8" s="107"/>
      <c r="L8" s="108"/>
    </row>
    <row r="9" spans="1:14" ht="6" customHeight="1" x14ac:dyDescent="0.2">
      <c r="A9" s="109"/>
      <c r="B9" s="110"/>
      <c r="C9" s="110"/>
      <c r="D9" s="110"/>
      <c r="E9" s="111"/>
      <c r="F9" s="111"/>
      <c r="G9" s="111"/>
      <c r="H9" s="111"/>
      <c r="I9" s="112"/>
      <c r="J9" s="112"/>
      <c r="K9" s="113"/>
      <c r="L9" s="114"/>
    </row>
    <row r="10" spans="1:14" x14ac:dyDescent="0.2">
      <c r="A10" s="109"/>
      <c r="B10" s="110"/>
      <c r="C10" s="110"/>
      <c r="D10" s="110"/>
      <c r="E10" s="111"/>
      <c r="F10" s="111"/>
      <c r="G10" s="111"/>
      <c r="I10" s="112"/>
      <c r="J10" s="112"/>
      <c r="K10" s="113"/>
      <c r="L10" s="114"/>
    </row>
    <row r="11" spans="1:14" x14ac:dyDescent="0.2">
      <c r="A11" s="115" t="s">
        <v>6</v>
      </c>
      <c r="B11" s="115"/>
      <c r="C11" s="116" t="str">
        <f>Jul!C11</f>
        <v>ATHENE, Pallas</v>
      </c>
      <c r="D11" s="117"/>
      <c r="E11" s="118"/>
      <c r="F11" s="119"/>
      <c r="G11" s="119" t="s">
        <v>8</v>
      </c>
      <c r="H11" s="120"/>
      <c r="I11" s="121">
        <f>DATE(J11,8,1)</f>
        <v>46235</v>
      </c>
      <c r="J11" s="122">
        <f>Jan!J11</f>
        <v>2026</v>
      </c>
      <c r="K11" s="123"/>
      <c r="L11" s="124"/>
    </row>
    <row r="12" spans="1:14" x14ac:dyDescent="0.2">
      <c r="B12" s="114"/>
      <c r="C12" s="126"/>
      <c r="D12" s="127"/>
      <c r="E12" s="119"/>
      <c r="F12" s="119"/>
      <c r="G12" s="111"/>
      <c r="I12" s="112"/>
      <c r="J12" s="128"/>
      <c r="K12" s="113"/>
      <c r="L12" s="114"/>
    </row>
    <row r="13" spans="1:14" x14ac:dyDescent="0.2">
      <c r="A13" s="115" t="s">
        <v>7</v>
      </c>
      <c r="B13" s="115"/>
      <c r="C13" s="129" t="str">
        <f>Jul!C13</f>
        <v>Geschäftsstelle</v>
      </c>
      <c r="D13" s="130"/>
      <c r="E13" s="118"/>
      <c r="F13" s="131"/>
      <c r="G13" s="131"/>
      <c r="H13" s="120"/>
      <c r="I13" s="117"/>
      <c r="J13" s="118"/>
      <c r="K13" s="123"/>
      <c r="L13" s="124"/>
    </row>
    <row r="14" spans="1:14" ht="13.5" thickBot="1" x14ac:dyDescent="0.25">
      <c r="K14" s="113"/>
      <c r="L14" s="114"/>
    </row>
    <row r="15" spans="1:14" ht="13.35" customHeight="1" x14ac:dyDescent="0.2">
      <c r="A15" s="132"/>
      <c r="B15" s="132" t="s">
        <v>14</v>
      </c>
      <c r="C15" s="132" t="s">
        <v>18</v>
      </c>
      <c r="D15" s="132" t="s">
        <v>145</v>
      </c>
      <c r="E15" s="132" t="s">
        <v>16</v>
      </c>
      <c r="F15" s="133" t="s">
        <v>42</v>
      </c>
      <c r="G15" s="133"/>
      <c r="H15" s="134" t="s">
        <v>43</v>
      </c>
      <c r="I15" s="135" t="s">
        <v>0</v>
      </c>
      <c r="J15" s="136"/>
      <c r="K15" s="137" t="s">
        <v>41</v>
      </c>
      <c r="L15" s="138"/>
      <c r="M15" s="139"/>
      <c r="N15" s="140"/>
    </row>
    <row r="16" spans="1:14" ht="13.5" thickBot="1" x14ac:dyDescent="0.25">
      <c r="A16" s="132"/>
      <c r="B16" s="132"/>
      <c r="C16" s="132"/>
      <c r="D16" s="132"/>
      <c r="E16" s="132"/>
      <c r="F16" s="133"/>
      <c r="G16" s="133"/>
      <c r="H16" s="141"/>
      <c r="I16" s="142" t="s">
        <v>1</v>
      </c>
      <c r="J16" s="143" t="s">
        <v>2</v>
      </c>
      <c r="K16" s="144"/>
      <c r="L16" s="145"/>
      <c r="M16" s="139"/>
      <c r="N16" s="146"/>
    </row>
    <row r="17" spans="1:14" ht="13.5" thickBot="1" x14ac:dyDescent="0.25">
      <c r="A17" s="132"/>
      <c r="B17" s="132"/>
      <c r="C17" s="132"/>
      <c r="D17" s="132"/>
      <c r="E17" s="132"/>
      <c r="F17" s="133"/>
      <c r="G17" s="133"/>
      <c r="H17" s="141"/>
      <c r="I17" s="147">
        <f>IF(Mantelbogen!D26=I11,Mantelbogen!C28,Jul!I53)</f>
        <v>1.2708333333333348</v>
      </c>
      <c r="J17" s="148" t="str">
        <f>IF(Mantelbogen!D26=I11,Mantelbogen!D28,Jul!J53)</f>
        <v/>
      </c>
      <c r="K17" s="149" t="str">
        <f>IF(I17/H58 &gt; 1, I17/H58, " " )</f>
        <v xml:space="preserve"> </v>
      </c>
      <c r="L17" s="150"/>
      <c r="N17" s="151"/>
    </row>
    <row r="18" spans="1:14" ht="13.5" thickBot="1" x14ac:dyDescent="0.25">
      <c r="A18" s="132"/>
      <c r="B18" s="132"/>
      <c r="C18" s="132"/>
      <c r="D18" s="132"/>
      <c r="E18" s="132"/>
      <c r="F18" s="133"/>
      <c r="G18" s="133"/>
      <c r="H18" s="152"/>
      <c r="I18" s="147"/>
      <c r="J18" s="148"/>
      <c r="K18" s="153"/>
      <c r="L18" s="154"/>
      <c r="N18" s="151"/>
    </row>
    <row r="19" spans="1:14" ht="17.45" customHeight="1" x14ac:dyDescent="0.35">
      <c r="A19" s="155">
        <v>1</v>
      </c>
      <c r="B19" s="156" t="str">
        <f>TEXT(DATE(J$11,MONTH(I$11),A19),Textcode)</f>
        <v>Samstag</v>
      </c>
      <c r="C19" s="157">
        <v>0.35416666666666669</v>
      </c>
      <c r="D19" s="157">
        <v>0.70833333333333337</v>
      </c>
      <c r="E19" s="157">
        <v>2.0833333333333332E-2</v>
      </c>
      <c r="F19" s="158">
        <f>IF(ISTEXT(C19),,D19-C19-E19)</f>
        <v>0.33333333333333337</v>
      </c>
      <c r="G19" s="159"/>
      <c r="H19" s="160">
        <f t="shared" ref="H19:H23" si="0">IF(AND(ISTEXT(C19),ISERR(SEARCH("ausgleich",C19,1))),,INDEX(H$51:H$58,WEEKDAY(DATE(J$11,MONTH(I$11),A19),2),1,1))</f>
        <v>0</v>
      </c>
      <c r="I19" s="161" t="str" cm="1">
        <f t="array" ref="I19">IF(AND(F19&gt;H19,OR(AND(OR($B19&lt;&gt;Ref!$A$7,$H$56&gt;0),OR($B19&lt;&gt;Ref!$A$8,$H$57&gt;0)),COUNT(SEARCH(Sonderarbeit,$N19))&gt;=1),ISNONTEXT(C19),C19&lt;&gt;""),F19-H19,"")</f>
        <v/>
      </c>
      <c r="J19" s="162" t="str" cm="1">
        <f t="array" ref="J19">IF(OR(AND(F19&lt;H19,OR(AND(OR($B19&lt;&gt;Ref!$A$7,$H$56&gt;0),OR($B19&lt;&gt;Ref!$A$8,$H$57&gt;0)),COUNT(SEARCH(Sonderarbeit,$N19))&gt;=1)),C19="Ausgleich"),H19-F19,"")</f>
        <v/>
      </c>
      <c r="K19" s="163" t="str">
        <f>IF(AND(B19=Ref!$A$8,SUM(I19:I19)&lt;SUM(J19:J19)),"-","")</f>
        <v/>
      </c>
      <c r="L19" s="164" t="str">
        <f>IF(B19=Ref!$A$8,ABS(SUM(I19:I19)-SUM(J19:J19)),"")</f>
        <v/>
      </c>
      <c r="N19" s="165"/>
    </row>
    <row r="20" spans="1:14" ht="17.45" customHeight="1" x14ac:dyDescent="0.35">
      <c r="A20" s="155">
        <v>2</v>
      </c>
      <c r="B20" s="156" t="str">
        <f t="shared" ref="B20:B49" si="1">TEXT(DATE(J$11,MONTH(I$11),A20),Textcode)</f>
        <v>Sonntag</v>
      </c>
      <c r="C20" s="157">
        <v>0.35416666666666669</v>
      </c>
      <c r="D20" s="157">
        <v>0.70833333333333337</v>
      </c>
      <c r="E20" s="157">
        <v>2.0833333333333332E-2</v>
      </c>
      <c r="F20" s="158">
        <f>IF(ISTEXT(C20),,D20-C20-E20)</f>
        <v>0.33333333333333337</v>
      </c>
      <c r="G20" s="159"/>
      <c r="H20" s="160">
        <f t="shared" si="0"/>
        <v>0</v>
      </c>
      <c r="I20" s="161" t="str" cm="1">
        <f t="array" ref="I20">IF(AND(F20&gt;H20,OR(AND(OR($B20&lt;&gt;Ref!$A$7,$H$56&gt;0),OR($B20&lt;&gt;Ref!$A$8,$H$57&gt;0)),COUNT(SEARCH(Sonderarbeit,$N20))&gt;=1),ISNONTEXT(C20),C20&lt;&gt;""),F20-H20,"")</f>
        <v/>
      </c>
      <c r="J20" s="162" t="str" cm="1">
        <f t="array" ref="J20">IF(OR(AND(F20&lt;H20,OR(AND(OR($B20&lt;&gt;Ref!$A$7,$H$56&gt;0),OR($B20&lt;&gt;Ref!$A$8,$H$57&gt;0)),COUNT(SEARCH(Sonderarbeit,$N20))&gt;=1)),C20="Ausgleich"),H20-F20,"")</f>
        <v/>
      </c>
      <c r="K20" s="166" t="str">
        <f>IF(AND(B20=Ref!$A$8,SUM(I19:I20)&lt;SUM(J19:J20)),"-","")</f>
        <v/>
      </c>
      <c r="L20" s="167">
        <f>IF(B20=Ref!$A$8,ABS(SUM(I19:I20)-SUM(J19:J20)),"")</f>
        <v>0</v>
      </c>
    </row>
    <row r="21" spans="1:14" ht="17.45" customHeight="1" x14ac:dyDescent="0.35">
      <c r="A21" s="155">
        <v>3</v>
      </c>
      <c r="B21" s="156" t="str">
        <f t="shared" si="1"/>
        <v>Montag</v>
      </c>
      <c r="C21" s="157">
        <v>0.35416666666666669</v>
      </c>
      <c r="D21" s="157">
        <v>0.70833333333333337</v>
      </c>
      <c r="E21" s="157">
        <v>2.0833333333333332E-2</v>
      </c>
      <c r="F21" s="158">
        <f>IF(ISTEXT(C21),,D21-C21-E21)</f>
        <v>0.33333333333333337</v>
      </c>
      <c r="G21" s="159"/>
      <c r="H21" s="160">
        <f t="shared" si="0"/>
        <v>0.33333333333333331</v>
      </c>
      <c r="I21" s="161" t="str" cm="1">
        <f t="array" ref="I21">IF(AND(F21&gt;H21,OR(AND(OR($B21&lt;&gt;Ref!$A$7,$H$56&gt;0),OR($B21&lt;&gt;Ref!$A$8,$H$57&gt;0)),COUNT(SEARCH(Sonderarbeit,$N21))&gt;=1),ISNONTEXT(C21),C21&lt;&gt;""),F21-H21,"")</f>
        <v/>
      </c>
      <c r="J21" s="162" t="str" cm="1">
        <f t="array" ref="J21">IF(OR(AND(F21&lt;H21,OR(AND(OR($B21&lt;&gt;Ref!$A$7,$H$56&gt;0),OR($B21&lt;&gt;Ref!$A$8,$H$57&gt;0)),COUNT(SEARCH(Sonderarbeit,$N21))&gt;=1)),C21="Ausgleich"),H21-F21,"")</f>
        <v/>
      </c>
      <c r="K21" s="166" t="str">
        <f>IF(AND(B21=Ref!$A$8,SUM(I19:I21)&lt;SUM(J19:J21)),"-","")</f>
        <v/>
      </c>
      <c r="L21" s="167" t="str">
        <f>IF(B21=Ref!$A$8,ABS(SUM(I19:I21)-SUM(J19:J21)),"")</f>
        <v/>
      </c>
    </row>
    <row r="22" spans="1:14" ht="17.45" customHeight="1" x14ac:dyDescent="0.35">
      <c r="A22" s="168">
        <v>4</v>
      </c>
      <c r="B22" s="156" t="str">
        <f t="shared" si="1"/>
        <v>Dienstag</v>
      </c>
      <c r="C22" s="157">
        <v>0.35416666666666669</v>
      </c>
      <c r="D22" s="157">
        <v>0.70833333333333337</v>
      </c>
      <c r="E22" s="157">
        <v>2.0833333333333332E-2</v>
      </c>
      <c r="F22" s="158">
        <f>IF(ISTEXT(C22),,D22-C22-E22)</f>
        <v>0.33333333333333337</v>
      </c>
      <c r="G22" s="159"/>
      <c r="H22" s="160">
        <f t="shared" si="0"/>
        <v>0.33333333333333331</v>
      </c>
      <c r="I22" s="161" t="str" cm="1">
        <f t="array" ref="I22">IF(AND(F22&gt;H22,OR(AND(OR($B22&lt;&gt;Ref!$A$7,$H$56&gt;0),OR($B22&lt;&gt;Ref!$A$8,$H$57&gt;0)),COUNT(SEARCH(Sonderarbeit,$N22))&gt;=1),ISNONTEXT(C22),C22&lt;&gt;""),F22-H22,"")</f>
        <v/>
      </c>
      <c r="J22" s="162" t="str" cm="1">
        <f t="array" ref="J22">IF(OR(AND(F22&lt;H22,OR(AND(OR($B22&lt;&gt;Ref!$A$7,$H$56&gt;0),OR($B22&lt;&gt;Ref!$A$8,$H$57&gt;0)),COUNT(SEARCH(Sonderarbeit,$N22))&gt;=1)),C22="Ausgleich"),H22-F22,"")</f>
        <v/>
      </c>
      <c r="K22" s="166" t="str">
        <f>IF(AND(B22=Ref!$A$8,SUM(I19:I22)&lt;SUM(J19:J22)),"-","")</f>
        <v/>
      </c>
      <c r="L22" s="167" t="str">
        <f>IF(B22=Ref!$A$8,ABS(SUM(I19:I22)-SUM(J19:J22)),"")</f>
        <v/>
      </c>
      <c r="N22" s="169"/>
    </row>
    <row r="23" spans="1:14" ht="17.45" customHeight="1" x14ac:dyDescent="0.35">
      <c r="A23" s="168">
        <v>5</v>
      </c>
      <c r="B23" s="156" t="str">
        <f t="shared" si="1"/>
        <v>Mittwoch</v>
      </c>
      <c r="C23" s="157">
        <v>0.35416666666666669</v>
      </c>
      <c r="D23" s="157">
        <v>0.70833333333333337</v>
      </c>
      <c r="E23" s="157">
        <v>2.0833333333333332E-2</v>
      </c>
      <c r="F23" s="158">
        <f>IF(ISTEXT(C23),,D23-C23-E23)</f>
        <v>0.33333333333333337</v>
      </c>
      <c r="G23" s="159"/>
      <c r="H23" s="160">
        <f t="shared" si="0"/>
        <v>0.33333333333333331</v>
      </c>
      <c r="I23" s="161" t="str" cm="1">
        <f t="array" ref="I23">IF(AND(F23&gt;H23,OR(AND(OR($B23&lt;&gt;Ref!$A$7,$H$56&gt;0),OR($B23&lt;&gt;Ref!$A$8,$H$57&gt;0)),COUNT(SEARCH(Sonderarbeit,$N23))&gt;=1),ISNONTEXT(C23),C23&lt;&gt;""),F23-H23,"")</f>
        <v/>
      </c>
      <c r="J23" s="162" t="str" cm="1">
        <f t="array" ref="J23">IF(OR(AND(F23&lt;H23,OR(AND(OR($B23&lt;&gt;Ref!$A$7,$H$56&gt;0),OR($B23&lt;&gt;Ref!$A$8,$H$57&gt;0)),COUNT(SEARCH(Sonderarbeit,$N23))&gt;=1)),C23="Ausgleich"),H23-F23,"")</f>
        <v/>
      </c>
      <c r="K23" s="166" t="str">
        <f>IF(AND(B23=Ref!$A$8,SUM(I19:I23)&lt;SUM(J19:J23)),"-","")</f>
        <v/>
      </c>
      <c r="L23" s="167" t="str">
        <f>IF(B23=Ref!$A$8,ABS(SUM(I19:I23)-SUM(J19:J23)),"")</f>
        <v/>
      </c>
    </row>
    <row r="24" spans="1:14" ht="17.45" customHeight="1" x14ac:dyDescent="0.35">
      <c r="A24" s="155">
        <v>6</v>
      </c>
      <c r="B24" s="156" t="str">
        <f t="shared" si="1"/>
        <v>Donnerstag</v>
      </c>
      <c r="C24" s="157">
        <v>0.35416666666666669</v>
      </c>
      <c r="D24" s="157">
        <v>0.70833333333333337</v>
      </c>
      <c r="E24" s="157">
        <v>2.0833333333333332E-2</v>
      </c>
      <c r="F24" s="158">
        <f>IF(ISTEXT(C24),,D24-C24-E24)</f>
        <v>0.33333333333333337</v>
      </c>
      <c r="G24" s="159"/>
      <c r="H24" s="160">
        <f>IF(AND(ISTEXT(C24),ISERR(SEARCH("ausgleich",C24,1))),,INDEX(H$51:H$58,WEEKDAY(DATE(J$11,MONTH(I$11),A24),2),1,1))</f>
        <v>0.33333333333333331</v>
      </c>
      <c r="I24" s="161" t="str" cm="1">
        <f t="array" ref="I24">IF(AND(F24&gt;H24,OR(AND(OR($B24&lt;&gt;Ref!$A$7,$H$56&gt;0),OR($B24&lt;&gt;Ref!$A$8,$H$57&gt;0)),COUNT(SEARCH(Sonderarbeit,$N24))&gt;=1),ISNONTEXT(C24),C24&lt;&gt;""),F24-H24,"")</f>
        <v/>
      </c>
      <c r="J24" s="162" t="str" cm="1">
        <f t="array" ref="J24">IF(OR(AND(F24&lt;H24,OR(AND(OR($B24&lt;&gt;Ref!$A$7,$H$56&gt;0),OR($B24&lt;&gt;Ref!$A$8,$H$57&gt;0)),COUNT(SEARCH(Sonderarbeit,$N24))&gt;=1)),C24="Ausgleich"),H24-F24,"")</f>
        <v/>
      </c>
      <c r="K24" s="166" t="str">
        <f>IF(AND(B24=Ref!$A$8,SUM(I19:I24)&lt;SUM(J19:J24)),"-","")</f>
        <v/>
      </c>
      <c r="L24" s="167" t="str">
        <f>IF(B24=Ref!$A$8,ABS(SUM(I19:I24)-SUM(J19:J24)),"")</f>
        <v/>
      </c>
    </row>
    <row r="25" spans="1:14" ht="17.45" customHeight="1" x14ac:dyDescent="0.35">
      <c r="A25" s="168">
        <v>7</v>
      </c>
      <c r="B25" s="156" t="str">
        <f t="shared" si="1"/>
        <v>Freitag</v>
      </c>
      <c r="C25" s="157">
        <v>0.35416666666666669</v>
      </c>
      <c r="D25" s="157">
        <v>0.70833333333333337</v>
      </c>
      <c r="E25" s="157">
        <v>2.0833333333333332E-2</v>
      </c>
      <c r="F25" s="158">
        <f>IF(ISTEXT(C25),,D25-C25-E25)</f>
        <v>0.33333333333333337</v>
      </c>
      <c r="G25" s="159"/>
      <c r="H25" s="160">
        <f t="shared" ref="H25:H49" si="2">IF(AND(ISTEXT(C25),ISERR(SEARCH("ausgleich",C25,1))),,INDEX(H$51:H$58,WEEKDAY(DATE(J$11,MONTH(I$11),A25),2),1,1))</f>
        <v>0.3125</v>
      </c>
      <c r="I25" s="161" cm="1">
        <f t="array" ref="I25">IF(AND(F25&gt;H25,OR(AND(OR($B25&lt;&gt;Ref!$A$7,$H$56&gt;0),OR($B25&lt;&gt;Ref!$A$8,$H$57&gt;0)),COUNT(SEARCH(Sonderarbeit,$N25))&gt;=1),ISNONTEXT(C25),C25&lt;&gt;""),F25-H25,"")</f>
        <v>2.083333333333337E-2</v>
      </c>
      <c r="J25" s="162" t="str" cm="1">
        <f t="array" ref="J25">IF(OR(AND(F25&lt;H25,OR(AND(OR($B25&lt;&gt;Ref!$A$7,$H$56&gt;0),OR($B25&lt;&gt;Ref!$A$8,$H$57&gt;0)),COUNT(SEARCH(Sonderarbeit,$N25))&gt;=1)),C25="Ausgleich"),H25-F25,"")</f>
        <v/>
      </c>
      <c r="K25" s="166" t="str">
        <f>IF(AND(B25=Ref!$A$8,SUM(I19:I25)&lt;SUM(J19:J25)),"-","")</f>
        <v/>
      </c>
      <c r="L25" s="167" t="str">
        <f>IF(B25=Ref!$A$8,ABS(SUM(I19:I25)-SUM(J19:J25)),"")</f>
        <v/>
      </c>
    </row>
    <row r="26" spans="1:14" ht="17.45" customHeight="1" x14ac:dyDescent="0.35">
      <c r="A26" s="168">
        <v>8</v>
      </c>
      <c r="B26" s="156" t="str">
        <f t="shared" si="1"/>
        <v>Samstag</v>
      </c>
      <c r="C26" s="157">
        <v>0.35416666666666669</v>
      </c>
      <c r="D26" s="157">
        <v>0.70833333333333337</v>
      </c>
      <c r="E26" s="157">
        <v>2.0833333333333332E-2</v>
      </c>
      <c r="F26" s="158">
        <f>IF(ISTEXT(C26),,D26-C26-E26)</f>
        <v>0.33333333333333337</v>
      </c>
      <c r="G26" s="159"/>
      <c r="H26" s="160">
        <f t="shared" si="2"/>
        <v>0</v>
      </c>
      <c r="I26" s="161" t="str" cm="1">
        <f t="array" ref="I26">IF(AND(F26&gt;H26,OR(AND(OR($B26&lt;&gt;Ref!$A$7,$H$56&gt;0),OR($B26&lt;&gt;Ref!$A$8,$H$57&gt;0)),COUNT(SEARCH(Sonderarbeit,$N26))&gt;=1),ISNONTEXT(C26),C26&lt;&gt;""),F26-H26,"")</f>
        <v/>
      </c>
      <c r="J26" s="162" t="str" cm="1">
        <f t="array" ref="J26">IF(OR(AND(F26&lt;H26,OR(AND(OR($B26&lt;&gt;Ref!$A$7,$H$56&gt;0),OR($B26&lt;&gt;Ref!$A$8,$H$57&gt;0)),COUNT(SEARCH(Sonderarbeit,$N26))&gt;=1)),C26="Ausgleich"),H26-F26,"")</f>
        <v/>
      </c>
      <c r="K26" s="166" t="str">
        <f>IF(AND(B26=Ref!$A$8,SUM(I20:I26)&lt;SUM(J20:J26)),"-","")</f>
        <v/>
      </c>
      <c r="L26" s="167" t="str">
        <f>IF(B26=Ref!$A$8,ABS(SUM(I20:I26)-SUM(J20:J26)),"")</f>
        <v/>
      </c>
    </row>
    <row r="27" spans="1:14" ht="17.45" customHeight="1" x14ac:dyDescent="0.35">
      <c r="A27" s="155">
        <v>9</v>
      </c>
      <c r="B27" s="156" t="str">
        <f t="shared" si="1"/>
        <v>Sonntag</v>
      </c>
      <c r="C27" s="157">
        <v>0.35416666666666669</v>
      </c>
      <c r="D27" s="157">
        <v>0.70833333333333337</v>
      </c>
      <c r="E27" s="157">
        <v>2.0833333333333332E-2</v>
      </c>
      <c r="F27" s="158">
        <f>IF(ISTEXT(C27),,D27-C27-E27)</f>
        <v>0.33333333333333337</v>
      </c>
      <c r="G27" s="159"/>
      <c r="H27" s="160">
        <f t="shared" si="2"/>
        <v>0</v>
      </c>
      <c r="I27" s="161" t="str" cm="1">
        <f t="array" ref="I27">IF(AND(F27&gt;H27,OR(AND(OR($B27&lt;&gt;Ref!$A$7,$H$56&gt;0),OR($B27&lt;&gt;Ref!$A$8,$H$57&gt;0)),COUNT(SEARCH(Sonderarbeit,$N27))&gt;=1),ISNONTEXT(C27),C27&lt;&gt;""),F27-H27,"")</f>
        <v/>
      </c>
      <c r="J27" s="162" t="str" cm="1">
        <f t="array" ref="J27">IF(OR(AND(F27&lt;H27,OR(AND(OR($B27&lt;&gt;Ref!$A$7,$H$56&gt;0),OR($B27&lt;&gt;Ref!$A$8,$H$57&gt;0)),COUNT(SEARCH(Sonderarbeit,$N27))&gt;=1)),C27="Ausgleich"),H27-F27,"")</f>
        <v/>
      </c>
      <c r="K27" s="166" t="str">
        <f>IF(AND(B27=Ref!$A$8,SUM(I21:I27)&lt;SUM(J21:J27)),"-","")</f>
        <v/>
      </c>
      <c r="L27" s="167">
        <f>IF(B27=Ref!$A$8,ABS(SUM(I21:I27)-SUM(J21:J27)),"")</f>
        <v>2.083333333333337E-2</v>
      </c>
    </row>
    <row r="28" spans="1:14" ht="17.45" customHeight="1" x14ac:dyDescent="0.35">
      <c r="A28" s="155">
        <v>10</v>
      </c>
      <c r="B28" s="156" t="str">
        <f t="shared" si="1"/>
        <v>Montag</v>
      </c>
      <c r="C28" s="157">
        <v>0.35416666666666669</v>
      </c>
      <c r="D28" s="157">
        <v>0.70833333333333337</v>
      </c>
      <c r="E28" s="157">
        <v>2.0833333333333332E-2</v>
      </c>
      <c r="F28" s="158">
        <f>IF(ISTEXT(C28),,D28-C28-E28)</f>
        <v>0.33333333333333337</v>
      </c>
      <c r="G28" s="159"/>
      <c r="H28" s="160">
        <f t="shared" si="2"/>
        <v>0.33333333333333331</v>
      </c>
      <c r="I28" s="161" t="str" cm="1">
        <f t="array" ref="I28">IF(AND(F28&gt;H28,OR(AND(OR($B28&lt;&gt;Ref!$A$7,$H$56&gt;0),OR($B28&lt;&gt;Ref!$A$8,$H$57&gt;0)),COUNT(SEARCH(Sonderarbeit,$N28))&gt;=1),ISNONTEXT(C28),C28&lt;&gt;""),F28-H28,"")</f>
        <v/>
      </c>
      <c r="J28" s="162" t="str" cm="1">
        <f t="array" ref="J28">IF(OR(AND(F28&lt;H28,OR(AND(OR($B28&lt;&gt;Ref!$A$7,$H$56&gt;0),OR($B28&lt;&gt;Ref!$A$8,$H$57&gt;0)),COUNT(SEARCH(Sonderarbeit,$N28))&gt;=1)),C28="Ausgleich"),H28-F28,"")</f>
        <v/>
      </c>
      <c r="K28" s="166" t="str">
        <f>IF(AND(B28=Ref!$A$8,SUM(I22:I28)&lt;SUM(J22:J28)),"-","")</f>
        <v/>
      </c>
      <c r="L28" s="167" t="str">
        <f>IF(B28=Ref!$A$8,ABS(SUM(I22:I28)-SUM(J22:J28)),"")</f>
        <v/>
      </c>
    </row>
    <row r="29" spans="1:14" ht="17.45" customHeight="1" x14ac:dyDescent="0.35">
      <c r="A29" s="168">
        <v>11</v>
      </c>
      <c r="B29" s="156" t="str">
        <f t="shared" si="1"/>
        <v>Dienstag</v>
      </c>
      <c r="C29" s="157">
        <v>0.35416666666666669</v>
      </c>
      <c r="D29" s="157">
        <v>0.70833333333333337</v>
      </c>
      <c r="E29" s="157">
        <v>2.0833333333333332E-2</v>
      </c>
      <c r="F29" s="158">
        <f>IF(ISTEXT(C29),,D29-C29-E29)</f>
        <v>0.33333333333333337</v>
      </c>
      <c r="G29" s="159"/>
      <c r="H29" s="160">
        <f t="shared" si="2"/>
        <v>0.33333333333333331</v>
      </c>
      <c r="I29" s="161" t="str" cm="1">
        <f t="array" ref="I29">IF(AND(F29&gt;H29,OR(AND(OR($B29&lt;&gt;Ref!$A$7,$H$56&gt;0),OR($B29&lt;&gt;Ref!$A$8,$H$57&gt;0)),COUNT(SEARCH(Sonderarbeit,$N29))&gt;=1),ISNONTEXT(C29),C29&lt;&gt;""),F29-H29,"")</f>
        <v/>
      </c>
      <c r="J29" s="162" t="str" cm="1">
        <f t="array" ref="J29">IF(OR(AND(F29&lt;H29,OR(AND(OR($B29&lt;&gt;Ref!$A$7,$H$56&gt;0),OR($B29&lt;&gt;Ref!$A$8,$H$57&gt;0)),COUNT(SEARCH(Sonderarbeit,$N29))&gt;=1)),C29="Ausgleich"),H29-F29,"")</f>
        <v/>
      </c>
      <c r="K29" s="166" t="str">
        <f>IF(AND(B29=Ref!$A$8,SUM(I23:I29)&lt;SUM(J23:J29)),"-","")</f>
        <v/>
      </c>
      <c r="L29" s="167" t="str">
        <f>IF(B29=Ref!$A$8,ABS(SUM(I23:I29)-SUM(J23:J29)),"")</f>
        <v/>
      </c>
    </row>
    <row r="30" spans="1:14" ht="17.45" customHeight="1" x14ac:dyDescent="0.35">
      <c r="A30" s="168">
        <v>12</v>
      </c>
      <c r="B30" s="156" t="str">
        <f t="shared" si="1"/>
        <v>Mittwoch</v>
      </c>
      <c r="C30" s="157">
        <v>0.35416666666666669</v>
      </c>
      <c r="D30" s="157">
        <v>0.70833333333333337</v>
      </c>
      <c r="E30" s="157">
        <v>2.0833333333333332E-2</v>
      </c>
      <c r="F30" s="158">
        <f>IF(ISTEXT(C30),,D30-C30-E30)</f>
        <v>0.33333333333333337</v>
      </c>
      <c r="G30" s="159"/>
      <c r="H30" s="160">
        <f t="shared" si="2"/>
        <v>0.33333333333333331</v>
      </c>
      <c r="I30" s="161" t="str" cm="1">
        <f t="array" ref="I30">IF(AND(F30&gt;H30,OR(AND(OR($B30&lt;&gt;Ref!$A$7,$H$56&gt;0),OR($B30&lt;&gt;Ref!$A$8,$H$57&gt;0)),COUNT(SEARCH(Sonderarbeit,$N30))&gt;=1),ISNONTEXT(C30),C30&lt;&gt;""),F30-H30,"")</f>
        <v/>
      </c>
      <c r="J30" s="162" t="str" cm="1">
        <f t="array" ref="J30">IF(OR(AND(F30&lt;H30,OR(AND(OR($B30&lt;&gt;Ref!$A$7,$H$56&gt;0),OR($B30&lt;&gt;Ref!$A$8,$H$57&gt;0)),COUNT(SEARCH(Sonderarbeit,$N30))&gt;=1)),C30="Ausgleich"),H30-F30,"")</f>
        <v/>
      </c>
      <c r="K30" s="166" t="str">
        <f>IF(AND(B30=Ref!$A$8,SUM(I24:I30)&lt;SUM(J24:J30)),"-","")</f>
        <v/>
      </c>
      <c r="L30" s="167" t="str">
        <f>IF(B30=Ref!$A$8,ABS(SUM(I24:I30)-SUM(J24:J30)),"")</f>
        <v/>
      </c>
    </row>
    <row r="31" spans="1:14" ht="17.45" customHeight="1" x14ac:dyDescent="0.35">
      <c r="A31" s="168">
        <v>13</v>
      </c>
      <c r="B31" s="156" t="str">
        <f t="shared" si="1"/>
        <v>Donnerstag</v>
      </c>
      <c r="C31" s="157">
        <v>0.35416666666666669</v>
      </c>
      <c r="D31" s="157">
        <v>0.70833333333333337</v>
      </c>
      <c r="E31" s="157">
        <v>2.0833333333333332E-2</v>
      </c>
      <c r="F31" s="158">
        <f>IF(ISTEXT(C31),,D31-C31-E31)</f>
        <v>0.33333333333333337</v>
      </c>
      <c r="G31" s="159"/>
      <c r="H31" s="160">
        <f t="shared" si="2"/>
        <v>0.33333333333333331</v>
      </c>
      <c r="I31" s="161" t="str" cm="1">
        <f t="array" ref="I31">IF(AND(F31&gt;H31,OR(AND(OR($B31&lt;&gt;Ref!$A$7,$H$56&gt;0),OR($B31&lt;&gt;Ref!$A$8,$H$57&gt;0)),COUNT(SEARCH(Sonderarbeit,$N31))&gt;=1),ISNONTEXT(C31),C31&lt;&gt;""),F31-H31,"")</f>
        <v/>
      </c>
      <c r="J31" s="162" t="str" cm="1">
        <f t="array" ref="J31">IF(OR(AND(F31&lt;H31,OR(AND(OR($B31&lt;&gt;Ref!$A$7,$H$56&gt;0),OR($B31&lt;&gt;Ref!$A$8,$H$57&gt;0)),COUNT(SEARCH(Sonderarbeit,$N31))&gt;=1)),C31="Ausgleich"),H31-F31,"")</f>
        <v/>
      </c>
      <c r="K31" s="166" t="str">
        <f>IF(AND(B31=Ref!$A$8,SUM(I25:I31)&lt;SUM(J25:J31)),"-","")</f>
        <v/>
      </c>
      <c r="L31" s="167" t="str">
        <f>IF(B31=Ref!$A$8,ABS(SUM(I25:I31)-SUM(J25:J31)),"")</f>
        <v/>
      </c>
    </row>
    <row r="32" spans="1:14" ht="17.45" customHeight="1" x14ac:dyDescent="0.35">
      <c r="A32" s="168">
        <v>14</v>
      </c>
      <c r="B32" s="156" t="str">
        <f t="shared" si="1"/>
        <v>Freitag</v>
      </c>
      <c r="C32" s="157">
        <v>0.35416666666666669</v>
      </c>
      <c r="D32" s="157">
        <v>0.70833333333333337</v>
      </c>
      <c r="E32" s="157">
        <v>2.0833333333333332E-2</v>
      </c>
      <c r="F32" s="158">
        <f>IF(ISTEXT(C32),,D32-C32-E32)</f>
        <v>0.33333333333333337</v>
      </c>
      <c r="G32" s="159"/>
      <c r="H32" s="160">
        <f t="shared" si="2"/>
        <v>0.3125</v>
      </c>
      <c r="I32" s="161" cm="1">
        <f t="array" ref="I32">IF(AND(F32&gt;H32,OR(AND(OR($B32&lt;&gt;Ref!$A$7,$H$56&gt;0),OR($B32&lt;&gt;Ref!$A$8,$H$57&gt;0)),COUNT(SEARCH(Sonderarbeit,$N32))&gt;=1),ISNONTEXT(C32),C32&lt;&gt;""),F32-H32,"")</f>
        <v>2.083333333333337E-2</v>
      </c>
      <c r="J32" s="162" t="str" cm="1">
        <f t="array" ref="J32">IF(OR(AND(F32&lt;H32,OR(AND(OR($B32&lt;&gt;Ref!$A$7,$H$56&gt;0),OR($B32&lt;&gt;Ref!$A$8,$H$57&gt;0)),COUNT(SEARCH(Sonderarbeit,$N32))&gt;=1)),C32="Ausgleich"),H32-F32,"")</f>
        <v/>
      </c>
      <c r="K32" s="166" t="str">
        <f>IF(AND(B32=Ref!$A$8,SUM(I26:I32)&lt;SUM(J26:J32)),"-","")</f>
        <v/>
      </c>
      <c r="L32" s="167" t="str">
        <f>IF(B32=Ref!$A$8,ABS(SUM(I26:I32)-SUM(J26:J32)),"")</f>
        <v/>
      </c>
    </row>
    <row r="33" spans="1:12" ht="17.45" customHeight="1" x14ac:dyDescent="0.35">
      <c r="A33" s="155">
        <v>15</v>
      </c>
      <c r="B33" s="156" t="str">
        <f t="shared" si="1"/>
        <v>Samstag</v>
      </c>
      <c r="C33" s="157">
        <v>0.35416666666666669</v>
      </c>
      <c r="D33" s="157">
        <v>0.70833333333333337</v>
      </c>
      <c r="E33" s="157">
        <v>2.0833333333333332E-2</v>
      </c>
      <c r="F33" s="158">
        <f>IF(ISTEXT(C33),,D33-C33-E33)</f>
        <v>0.33333333333333337</v>
      </c>
      <c r="G33" s="159"/>
      <c r="H33" s="160">
        <f t="shared" si="2"/>
        <v>0</v>
      </c>
      <c r="I33" s="161" t="str" cm="1">
        <f t="array" ref="I33">IF(AND(F33&gt;H33,OR(AND(OR($B33&lt;&gt;Ref!$A$7,$H$56&gt;0),OR($B33&lt;&gt;Ref!$A$8,$H$57&gt;0)),COUNT(SEARCH(Sonderarbeit,$N33))&gt;=1),ISNONTEXT(C33),C33&lt;&gt;""),F33-H33,"")</f>
        <v/>
      </c>
      <c r="J33" s="162" t="str" cm="1">
        <f t="array" ref="J33">IF(OR(AND(F33&lt;H33,OR(AND(OR($B33&lt;&gt;Ref!$A$7,$H$56&gt;0),OR($B33&lt;&gt;Ref!$A$8,$H$57&gt;0)),COUNT(SEARCH(Sonderarbeit,$N33))&gt;=1)),C33="Ausgleich"),H33-F33,"")</f>
        <v/>
      </c>
      <c r="K33" s="166" t="str">
        <f>IF(AND(B33=Ref!$A$8,SUM(I27:I33)&lt;SUM(J27:J33)),"-","")</f>
        <v/>
      </c>
      <c r="L33" s="167" t="str">
        <f>IF(B33=Ref!$A$8,ABS(SUM(I27:I33)-SUM(J27:J33)),"")</f>
        <v/>
      </c>
    </row>
    <row r="34" spans="1:12" ht="17.45" customHeight="1" x14ac:dyDescent="0.35">
      <c r="A34" s="155">
        <v>16</v>
      </c>
      <c r="B34" s="156" t="str">
        <f t="shared" si="1"/>
        <v>Sonntag</v>
      </c>
      <c r="C34" s="157">
        <v>0.35416666666666669</v>
      </c>
      <c r="D34" s="157">
        <v>0.70833333333333337</v>
      </c>
      <c r="E34" s="157">
        <v>2.0833333333333332E-2</v>
      </c>
      <c r="F34" s="158">
        <f>IF(ISTEXT(C34),,D34-C34-E34)</f>
        <v>0.33333333333333337</v>
      </c>
      <c r="G34" s="159"/>
      <c r="H34" s="160">
        <f t="shared" si="2"/>
        <v>0</v>
      </c>
      <c r="I34" s="161" t="str" cm="1">
        <f t="array" ref="I34">IF(AND(F34&gt;H34,OR(AND(OR($B34&lt;&gt;Ref!$A$7,$H$56&gt;0),OR($B34&lt;&gt;Ref!$A$8,$H$57&gt;0)),COUNT(SEARCH(Sonderarbeit,$N34))&gt;=1),ISNONTEXT(C34),C34&lt;&gt;""),F34-H34,"")</f>
        <v/>
      </c>
      <c r="J34" s="162" t="str" cm="1">
        <f t="array" ref="J34">IF(OR(AND(F34&lt;H34,OR(AND(OR($B34&lt;&gt;Ref!$A$7,$H$56&gt;0),OR($B34&lt;&gt;Ref!$A$8,$H$57&gt;0)),COUNT(SEARCH(Sonderarbeit,$N34))&gt;=1)),C34="Ausgleich"),H34-F34,"")</f>
        <v/>
      </c>
      <c r="K34" s="166" t="str">
        <f>IF(AND(B34=Ref!$A$8,SUM(I28:I34)&lt;SUM(J28:J34)),"-","")</f>
        <v/>
      </c>
      <c r="L34" s="167">
        <f>IF(B34=Ref!$A$8,ABS(SUM(I28:I34)-SUM(J28:J34)),"")</f>
        <v>2.083333333333337E-2</v>
      </c>
    </row>
    <row r="35" spans="1:12" ht="17.45" customHeight="1" x14ac:dyDescent="0.35">
      <c r="A35" s="155">
        <v>17</v>
      </c>
      <c r="B35" s="156" t="str">
        <f t="shared" si="1"/>
        <v>Montag</v>
      </c>
      <c r="C35" s="157">
        <v>0.35416666666666669</v>
      </c>
      <c r="D35" s="157">
        <v>0.70833333333333337</v>
      </c>
      <c r="E35" s="157">
        <v>2.0833333333333332E-2</v>
      </c>
      <c r="F35" s="158">
        <f>IF(ISTEXT(C35),,D35-C35-E35)</f>
        <v>0.33333333333333337</v>
      </c>
      <c r="G35" s="159"/>
      <c r="H35" s="160">
        <f t="shared" si="2"/>
        <v>0.33333333333333331</v>
      </c>
      <c r="I35" s="161" t="str" cm="1">
        <f t="array" ref="I35">IF(AND(F35&gt;H35,OR(AND(OR($B35&lt;&gt;Ref!$A$7,$H$56&gt;0),OR($B35&lt;&gt;Ref!$A$8,$H$57&gt;0)),COUNT(SEARCH(Sonderarbeit,$N35))&gt;=1),ISNONTEXT(C35),C35&lt;&gt;""),F35-H35,"")</f>
        <v/>
      </c>
      <c r="J35" s="162" t="str" cm="1">
        <f t="array" ref="J35">IF(OR(AND(F35&lt;H35,OR(AND(OR($B35&lt;&gt;Ref!$A$7,$H$56&gt;0),OR($B35&lt;&gt;Ref!$A$8,$H$57&gt;0)),COUNT(SEARCH(Sonderarbeit,$N35))&gt;=1)),C35="Ausgleich"),H35-F35,"")</f>
        <v/>
      </c>
      <c r="K35" s="166" t="str">
        <f>IF(AND(B35=Ref!$A$8,SUM(I29:I35)&lt;SUM(J29:J35)),"-","")</f>
        <v/>
      </c>
      <c r="L35" s="167" t="str">
        <f>IF(B35=Ref!$A$8,ABS(SUM(I29:I35)-SUM(J29:J35)),"")</f>
        <v/>
      </c>
    </row>
    <row r="36" spans="1:12" ht="17.45" customHeight="1" x14ac:dyDescent="0.35">
      <c r="A36" s="155">
        <v>18</v>
      </c>
      <c r="B36" s="156" t="str">
        <f t="shared" si="1"/>
        <v>Dienstag</v>
      </c>
      <c r="C36" s="157">
        <v>0.35416666666666669</v>
      </c>
      <c r="D36" s="157">
        <v>0.70833333333333337</v>
      </c>
      <c r="E36" s="157">
        <v>2.0833333333333332E-2</v>
      </c>
      <c r="F36" s="158">
        <f>IF(ISTEXT(C36),,D36-C36-E36)</f>
        <v>0.33333333333333337</v>
      </c>
      <c r="G36" s="159"/>
      <c r="H36" s="160">
        <f t="shared" si="2"/>
        <v>0.33333333333333331</v>
      </c>
      <c r="I36" s="161" t="str" cm="1">
        <f t="array" ref="I36">IF(AND(F36&gt;H36,OR(AND(OR($B36&lt;&gt;Ref!$A$7,$H$56&gt;0),OR($B36&lt;&gt;Ref!$A$8,$H$57&gt;0)),COUNT(SEARCH(Sonderarbeit,$N36))&gt;=1),ISNONTEXT(C36),C36&lt;&gt;""),F36-H36,"")</f>
        <v/>
      </c>
      <c r="J36" s="162" t="str" cm="1">
        <f t="array" ref="J36">IF(OR(AND(F36&lt;H36,OR(AND(OR($B36&lt;&gt;Ref!$A$7,$H$56&gt;0),OR($B36&lt;&gt;Ref!$A$8,$H$57&gt;0)),COUNT(SEARCH(Sonderarbeit,$N36))&gt;=1)),C36="Ausgleich"),H36-F36,"")</f>
        <v/>
      </c>
      <c r="K36" s="166" t="str">
        <f>IF(AND(B36=Ref!$A$8,SUM(I30:I36)&lt;SUM(J30:J36)),"-","")</f>
        <v/>
      </c>
      <c r="L36" s="167" t="str">
        <f>IF(B36=Ref!$A$8,ABS(SUM(I30:I36)-SUM(J30:J36)),"")</f>
        <v/>
      </c>
    </row>
    <row r="37" spans="1:12" ht="17.45" customHeight="1" x14ac:dyDescent="0.35">
      <c r="A37" s="155">
        <v>19</v>
      </c>
      <c r="B37" s="156" t="str">
        <f t="shared" si="1"/>
        <v>Mittwoch</v>
      </c>
      <c r="C37" s="157">
        <v>0.35416666666666669</v>
      </c>
      <c r="D37" s="157">
        <v>0.70833333333333337</v>
      </c>
      <c r="E37" s="157">
        <v>2.0833333333333332E-2</v>
      </c>
      <c r="F37" s="158">
        <f>IF(ISTEXT(C37),,D37-C37-E37)</f>
        <v>0.33333333333333337</v>
      </c>
      <c r="G37" s="159"/>
      <c r="H37" s="160">
        <f t="shared" si="2"/>
        <v>0.33333333333333331</v>
      </c>
      <c r="I37" s="161" t="str" cm="1">
        <f t="array" ref="I37">IF(AND(F37&gt;H37,OR(AND(OR($B37&lt;&gt;Ref!$A$7,$H$56&gt;0),OR($B37&lt;&gt;Ref!$A$8,$H$57&gt;0)),COUNT(SEARCH(Sonderarbeit,$N37))&gt;=1),ISNONTEXT(C37),C37&lt;&gt;""),F37-H37,"")</f>
        <v/>
      </c>
      <c r="J37" s="162" t="str" cm="1">
        <f t="array" ref="J37">IF(OR(AND(F37&lt;H37,OR(AND(OR($B37&lt;&gt;Ref!$A$7,$H$56&gt;0),OR($B37&lt;&gt;Ref!$A$8,$H$57&gt;0)),COUNT(SEARCH(Sonderarbeit,$N37))&gt;=1)),C37="Ausgleich"),H37-F37,"")</f>
        <v/>
      </c>
      <c r="K37" s="166" t="str">
        <f>IF(AND(B37=Ref!$A$8,SUM(I31:I37)&lt;SUM(J31:J37)),"-","")</f>
        <v/>
      </c>
      <c r="L37" s="167" t="str">
        <f>IF(B37=Ref!$A$8,ABS(SUM(I31:I37)-SUM(J31:J37)),"")</f>
        <v/>
      </c>
    </row>
    <row r="38" spans="1:12" ht="17.45" customHeight="1" x14ac:dyDescent="0.35">
      <c r="A38" s="155">
        <v>20</v>
      </c>
      <c r="B38" s="156" t="str">
        <f t="shared" si="1"/>
        <v>Donnerstag</v>
      </c>
      <c r="C38" s="157">
        <v>0.35416666666666669</v>
      </c>
      <c r="D38" s="157">
        <v>0.70833333333333337</v>
      </c>
      <c r="E38" s="157">
        <v>2.0833333333333332E-2</v>
      </c>
      <c r="F38" s="158">
        <f>IF(ISTEXT(C38),,D38-C38-E38)</f>
        <v>0.33333333333333337</v>
      </c>
      <c r="G38" s="159"/>
      <c r="H38" s="160">
        <f t="shared" si="2"/>
        <v>0.33333333333333331</v>
      </c>
      <c r="I38" s="161" t="str" cm="1">
        <f t="array" ref="I38">IF(AND(F38&gt;H38,OR(AND(OR($B38&lt;&gt;Ref!$A$7,$H$56&gt;0),OR($B38&lt;&gt;Ref!$A$8,$H$57&gt;0)),COUNT(SEARCH(Sonderarbeit,$N38))&gt;=1),ISNONTEXT(C38),C38&lt;&gt;""),F38-H38,"")</f>
        <v/>
      </c>
      <c r="J38" s="162" t="str" cm="1">
        <f t="array" ref="J38">IF(OR(AND(F38&lt;H38,OR(AND(OR($B38&lt;&gt;Ref!$A$7,$H$56&gt;0),OR($B38&lt;&gt;Ref!$A$8,$H$57&gt;0)),COUNT(SEARCH(Sonderarbeit,$N38))&gt;=1)),C38="Ausgleich"),H38-F38,"")</f>
        <v/>
      </c>
      <c r="K38" s="166" t="str">
        <f>IF(AND(B38=Ref!$A$8,SUM(I32:I38)&lt;SUM(J32:J38)),"-","")</f>
        <v/>
      </c>
      <c r="L38" s="167" t="str">
        <f>IF(B38=Ref!$A$8,ABS(SUM(I32:I38)-SUM(J32:J38)),"")</f>
        <v/>
      </c>
    </row>
    <row r="39" spans="1:12" ht="17.45" customHeight="1" x14ac:dyDescent="0.35">
      <c r="A39" s="155">
        <v>21</v>
      </c>
      <c r="B39" s="156" t="str">
        <f t="shared" si="1"/>
        <v>Freitag</v>
      </c>
      <c r="C39" s="157">
        <v>0.35416666666666669</v>
      </c>
      <c r="D39" s="157">
        <v>0.70833333333333337</v>
      </c>
      <c r="E39" s="157">
        <v>2.0833333333333332E-2</v>
      </c>
      <c r="F39" s="158">
        <f>IF(ISTEXT(C39),,D39-C39-E39)</f>
        <v>0.33333333333333337</v>
      </c>
      <c r="G39" s="159"/>
      <c r="H39" s="160">
        <f t="shared" si="2"/>
        <v>0.3125</v>
      </c>
      <c r="I39" s="161" cm="1">
        <f t="array" ref="I39">IF(AND(F39&gt;H39,OR(AND(OR($B39&lt;&gt;Ref!$A$7,$H$56&gt;0),OR($B39&lt;&gt;Ref!$A$8,$H$57&gt;0)),COUNT(SEARCH(Sonderarbeit,$N39))&gt;=1),ISNONTEXT(C39),C39&lt;&gt;""),F39-H39,"")</f>
        <v>2.083333333333337E-2</v>
      </c>
      <c r="J39" s="162" t="str" cm="1">
        <f t="array" ref="J39">IF(OR(AND(F39&lt;H39,OR(AND(OR($B39&lt;&gt;Ref!$A$7,$H$56&gt;0),OR($B39&lt;&gt;Ref!$A$8,$H$57&gt;0)),COUNT(SEARCH(Sonderarbeit,$N39))&gt;=1)),C39="Ausgleich"),H39-F39,"")</f>
        <v/>
      </c>
      <c r="K39" s="166" t="str">
        <f>IF(AND(B39=Ref!$A$8,SUM(I33:I39)&lt;SUM(J33:J39)),"-","")</f>
        <v/>
      </c>
      <c r="L39" s="167" t="str">
        <f>IF(B39=Ref!$A$8,ABS(SUM(I33:I39)-SUM(J33:J39)),"")</f>
        <v/>
      </c>
    </row>
    <row r="40" spans="1:12" ht="17.45" customHeight="1" x14ac:dyDescent="0.35">
      <c r="A40" s="155">
        <v>22</v>
      </c>
      <c r="B40" s="156" t="str">
        <f t="shared" si="1"/>
        <v>Samstag</v>
      </c>
      <c r="C40" s="157">
        <v>0.35416666666666669</v>
      </c>
      <c r="D40" s="157">
        <v>0.70833333333333337</v>
      </c>
      <c r="E40" s="157">
        <v>2.0833333333333332E-2</v>
      </c>
      <c r="F40" s="158">
        <f>IF(ISTEXT(C40),,D40-C40-E40)</f>
        <v>0.33333333333333337</v>
      </c>
      <c r="G40" s="159"/>
      <c r="H40" s="160">
        <f t="shared" si="2"/>
        <v>0</v>
      </c>
      <c r="I40" s="161" t="str" cm="1">
        <f t="array" ref="I40">IF(AND(F40&gt;H40,OR(AND(OR($B40&lt;&gt;Ref!$A$7,$H$56&gt;0),OR($B40&lt;&gt;Ref!$A$8,$H$57&gt;0)),COUNT(SEARCH(Sonderarbeit,$N40))&gt;=1),ISNONTEXT(C40),C40&lt;&gt;""),F40-H40,"")</f>
        <v/>
      </c>
      <c r="J40" s="162" t="str" cm="1">
        <f t="array" ref="J40">IF(OR(AND(F40&lt;H40,OR(AND(OR($B40&lt;&gt;Ref!$A$7,$H$56&gt;0),OR($B40&lt;&gt;Ref!$A$8,$H$57&gt;0)),COUNT(SEARCH(Sonderarbeit,$N40))&gt;=1)),C40="Ausgleich"),H40-F40,"")</f>
        <v/>
      </c>
      <c r="K40" s="166" t="str">
        <f>IF(AND(B40=Ref!$A$8,SUM(I34:I40)&lt;SUM(J34:J40)),"-","")</f>
        <v/>
      </c>
      <c r="L40" s="167" t="str">
        <f>IF(B40=Ref!$A$8,ABS(SUM(I34:I40)-SUM(J34:J40)),"")</f>
        <v/>
      </c>
    </row>
    <row r="41" spans="1:12" ht="17.45" customHeight="1" x14ac:dyDescent="0.35">
      <c r="A41" s="155">
        <v>23</v>
      </c>
      <c r="B41" s="156" t="str">
        <f t="shared" si="1"/>
        <v>Sonntag</v>
      </c>
      <c r="C41" s="157">
        <v>0.35416666666666669</v>
      </c>
      <c r="D41" s="157">
        <v>0.70833333333333337</v>
      </c>
      <c r="E41" s="157">
        <v>2.0833333333333332E-2</v>
      </c>
      <c r="F41" s="158">
        <f>IF(ISTEXT(C41),,D41-C41-E41)</f>
        <v>0.33333333333333337</v>
      </c>
      <c r="G41" s="159"/>
      <c r="H41" s="160">
        <f t="shared" si="2"/>
        <v>0</v>
      </c>
      <c r="I41" s="161" t="str" cm="1">
        <f t="array" ref="I41">IF(AND(F41&gt;H41,OR(AND(OR($B41&lt;&gt;Ref!$A$7,$H$56&gt;0),OR($B41&lt;&gt;Ref!$A$8,$H$57&gt;0)),COUNT(SEARCH(Sonderarbeit,$N41))&gt;=1),ISNONTEXT(C41),C41&lt;&gt;""),F41-H41,"")</f>
        <v/>
      </c>
      <c r="J41" s="162" t="str" cm="1">
        <f t="array" ref="J41">IF(OR(AND(F41&lt;H41,OR(AND(OR($B41&lt;&gt;Ref!$A$7,$H$56&gt;0),OR($B41&lt;&gt;Ref!$A$8,$H$57&gt;0)),COUNT(SEARCH(Sonderarbeit,$N41))&gt;=1)),C41="Ausgleich"),H41-F41,"")</f>
        <v/>
      </c>
      <c r="K41" s="166" t="str">
        <f>IF(AND(B41=Ref!$A$8,SUM(I35:I41)&lt;SUM(J35:J41)),"-","")</f>
        <v/>
      </c>
      <c r="L41" s="167">
        <f>IF(B41=Ref!$A$8,ABS(SUM(I35:I41)-SUM(J35:J41)),"")</f>
        <v>2.083333333333337E-2</v>
      </c>
    </row>
    <row r="42" spans="1:12" ht="17.45" customHeight="1" x14ac:dyDescent="0.35">
      <c r="A42" s="155">
        <v>24</v>
      </c>
      <c r="B42" s="156" t="str">
        <f t="shared" si="1"/>
        <v>Montag</v>
      </c>
      <c r="C42" s="157">
        <v>0.35416666666666669</v>
      </c>
      <c r="D42" s="157">
        <v>0.70833333333333337</v>
      </c>
      <c r="E42" s="157">
        <v>2.0833333333333332E-2</v>
      </c>
      <c r="F42" s="158">
        <f>IF(ISTEXT(C42),,D42-C42-E42)</f>
        <v>0.33333333333333337</v>
      </c>
      <c r="G42" s="159"/>
      <c r="H42" s="160">
        <f t="shared" si="2"/>
        <v>0.33333333333333331</v>
      </c>
      <c r="I42" s="161" t="str" cm="1">
        <f t="array" ref="I42">IF(AND(F42&gt;H42,OR(AND(OR($B42&lt;&gt;Ref!$A$7,$H$56&gt;0),OR($B42&lt;&gt;Ref!$A$8,$H$57&gt;0)),COUNT(SEARCH(Sonderarbeit,$N42))&gt;=1),ISNONTEXT(C42),C42&lt;&gt;""),F42-H42,"")</f>
        <v/>
      </c>
      <c r="J42" s="162" t="str" cm="1">
        <f t="array" ref="J42">IF(OR(AND(F42&lt;H42,OR(AND(OR($B42&lt;&gt;Ref!$A$7,$H$56&gt;0),OR($B42&lt;&gt;Ref!$A$8,$H$57&gt;0)),COUNT(SEARCH(Sonderarbeit,$N42))&gt;=1)),C42="Ausgleich"),H42-F42,"")</f>
        <v/>
      </c>
      <c r="K42" s="166" t="str">
        <f>IF(AND(B42=Ref!$A$8,SUM(I36:I42)&lt;SUM(J36:J42)),"-","")</f>
        <v/>
      </c>
      <c r="L42" s="167" t="str">
        <f>IF(B42=Ref!$A$8,ABS(SUM(I36:I42)-SUM(J36:J42)),"")</f>
        <v/>
      </c>
    </row>
    <row r="43" spans="1:12" ht="17.45" customHeight="1" x14ac:dyDescent="0.35">
      <c r="A43" s="155">
        <v>25</v>
      </c>
      <c r="B43" s="156" t="str">
        <f t="shared" si="1"/>
        <v>Dienstag</v>
      </c>
      <c r="C43" s="157">
        <v>0.35416666666666669</v>
      </c>
      <c r="D43" s="157">
        <v>0.70833333333333337</v>
      </c>
      <c r="E43" s="157">
        <v>2.0833333333333332E-2</v>
      </c>
      <c r="F43" s="158">
        <f>IF(ISTEXT(C43),,D43-C43-E43)</f>
        <v>0.33333333333333337</v>
      </c>
      <c r="G43" s="159"/>
      <c r="H43" s="160">
        <f t="shared" si="2"/>
        <v>0.33333333333333331</v>
      </c>
      <c r="I43" s="161" t="str" cm="1">
        <f t="array" ref="I43">IF(AND(F43&gt;H43,OR(AND(OR($B43&lt;&gt;Ref!$A$7,$H$56&gt;0),OR($B43&lt;&gt;Ref!$A$8,$H$57&gt;0)),COUNT(SEARCH(Sonderarbeit,$N43))&gt;=1),ISNONTEXT(C43),C43&lt;&gt;""),F43-H43,"")</f>
        <v/>
      </c>
      <c r="J43" s="162" t="str" cm="1">
        <f t="array" ref="J43">IF(OR(AND(F43&lt;H43,OR(AND(OR($B43&lt;&gt;Ref!$A$7,$H$56&gt;0),OR($B43&lt;&gt;Ref!$A$8,$H$57&gt;0)),COUNT(SEARCH(Sonderarbeit,$N43))&gt;=1)),C43="Ausgleich"),H43-F43,"")</f>
        <v/>
      </c>
      <c r="K43" s="166" t="str">
        <f>IF(AND(B43=Ref!$A$8,SUM(I37:I43)&lt;SUM(J37:J43)),"-","")</f>
        <v/>
      </c>
      <c r="L43" s="167" t="str">
        <f>IF(B43=Ref!$A$8,ABS(SUM(I37:I43)-SUM(J37:J43)),"")</f>
        <v/>
      </c>
    </row>
    <row r="44" spans="1:12" ht="17.45" customHeight="1" x14ac:dyDescent="0.35">
      <c r="A44" s="155">
        <v>26</v>
      </c>
      <c r="B44" s="156" t="str">
        <f t="shared" si="1"/>
        <v>Mittwoch</v>
      </c>
      <c r="C44" s="157">
        <v>0.35416666666666669</v>
      </c>
      <c r="D44" s="157">
        <v>0.70833333333333337</v>
      </c>
      <c r="E44" s="157">
        <v>2.0833333333333332E-2</v>
      </c>
      <c r="F44" s="158">
        <f>IF(ISTEXT(C44),,D44-C44-E44)</f>
        <v>0.33333333333333337</v>
      </c>
      <c r="G44" s="159"/>
      <c r="H44" s="160">
        <f t="shared" si="2"/>
        <v>0.33333333333333331</v>
      </c>
      <c r="I44" s="161" t="str" cm="1">
        <f t="array" ref="I44">IF(AND(F44&gt;H44,OR(AND(OR($B44&lt;&gt;Ref!$A$7,$H$56&gt;0),OR($B44&lt;&gt;Ref!$A$8,$H$57&gt;0)),COUNT(SEARCH(Sonderarbeit,$N44))&gt;=1),ISNONTEXT(C44),C44&lt;&gt;""),F44-H44,"")</f>
        <v/>
      </c>
      <c r="J44" s="162" t="str" cm="1">
        <f t="array" ref="J44">IF(OR(AND(F44&lt;H44,OR(AND(OR($B44&lt;&gt;Ref!$A$7,$H$56&gt;0),OR($B44&lt;&gt;Ref!$A$8,$H$57&gt;0)),COUNT(SEARCH(Sonderarbeit,$N44))&gt;=1)),C44="Ausgleich"),H44-F44,"")</f>
        <v/>
      </c>
      <c r="K44" s="166" t="str">
        <f>IF(AND(B44=Ref!$A$8,SUM(I38:I44)&lt;SUM(J38:J44)),"-","")</f>
        <v/>
      </c>
      <c r="L44" s="167" t="str">
        <f>IF(B44=Ref!$A$8,ABS(SUM(I38:I44)-SUM(J38:J44)),"")</f>
        <v/>
      </c>
    </row>
    <row r="45" spans="1:12" ht="17.45" customHeight="1" x14ac:dyDescent="0.35">
      <c r="A45" s="155">
        <v>27</v>
      </c>
      <c r="B45" s="156" t="str">
        <f t="shared" si="1"/>
        <v>Donnerstag</v>
      </c>
      <c r="C45" s="157">
        <v>0.35416666666666669</v>
      </c>
      <c r="D45" s="157">
        <v>0.70833333333333337</v>
      </c>
      <c r="E45" s="157">
        <v>2.0833333333333332E-2</v>
      </c>
      <c r="F45" s="158">
        <f>IF(ISTEXT(C45),,D45-C45-E45)</f>
        <v>0.33333333333333337</v>
      </c>
      <c r="G45" s="159"/>
      <c r="H45" s="160">
        <f t="shared" si="2"/>
        <v>0.33333333333333331</v>
      </c>
      <c r="I45" s="161" t="str" cm="1">
        <f t="array" ref="I45">IF(AND(F45&gt;H45,OR(AND(OR($B45&lt;&gt;Ref!$A$7,$H$56&gt;0),OR($B45&lt;&gt;Ref!$A$8,$H$57&gt;0)),COUNT(SEARCH(Sonderarbeit,$N45))&gt;=1),ISNONTEXT(C45),C45&lt;&gt;""),F45-H45,"")</f>
        <v/>
      </c>
      <c r="J45" s="162" t="str" cm="1">
        <f t="array" ref="J45">IF(OR(AND(F45&lt;H45,OR(AND(OR($B45&lt;&gt;Ref!$A$7,$H$56&gt;0),OR($B45&lt;&gt;Ref!$A$8,$H$57&gt;0)),COUNT(SEARCH(Sonderarbeit,$N45))&gt;=1)),C45="Ausgleich"),H45-F45,"")</f>
        <v/>
      </c>
      <c r="K45" s="166" t="str">
        <f>IF(AND(B45=Ref!$A$8,SUM(I39:I45)&lt;SUM(J39:J45)),"-","")</f>
        <v/>
      </c>
      <c r="L45" s="167" t="str">
        <f>IF(B45=Ref!$A$8,ABS(SUM(I39:I45)-SUM(J39:J45)),"")</f>
        <v/>
      </c>
    </row>
    <row r="46" spans="1:12" ht="17.45" customHeight="1" x14ac:dyDescent="0.35">
      <c r="A46" s="155">
        <v>28</v>
      </c>
      <c r="B46" s="156" t="str">
        <f t="shared" si="1"/>
        <v>Freitag</v>
      </c>
      <c r="C46" s="157">
        <v>0.35416666666666669</v>
      </c>
      <c r="D46" s="157">
        <v>0.70833333333333337</v>
      </c>
      <c r="E46" s="157">
        <v>2.0833333333333332E-2</v>
      </c>
      <c r="F46" s="158">
        <f>IF(ISTEXT(C46),,D46-C46-E46)</f>
        <v>0.33333333333333337</v>
      </c>
      <c r="G46" s="159"/>
      <c r="H46" s="160">
        <f t="shared" si="2"/>
        <v>0.3125</v>
      </c>
      <c r="I46" s="161" cm="1">
        <f t="array" ref="I46">IF(AND(F46&gt;H46,OR(AND(OR($B46&lt;&gt;Ref!$A$7,$H$56&gt;0),OR($B46&lt;&gt;Ref!$A$8,$H$57&gt;0)),COUNT(SEARCH(Sonderarbeit,$N46))&gt;=1),ISNONTEXT(C46),C46&lt;&gt;""),F46-H46,"")</f>
        <v>2.083333333333337E-2</v>
      </c>
      <c r="J46" s="162" t="str" cm="1">
        <f t="array" ref="J46">IF(OR(AND(F46&lt;H46,OR(AND(OR($B46&lt;&gt;Ref!$A$7,$H$56&gt;0),OR($B46&lt;&gt;Ref!$A$8,$H$57&gt;0)),COUNT(SEARCH(Sonderarbeit,$N46))&gt;=1)),C46="Ausgleich"),H46-F46,"")</f>
        <v/>
      </c>
      <c r="K46" s="166" t="str">
        <f>IF(AND(B46=Ref!$A$8,SUM(I40:I46)&lt;SUM(J40:J46)),"-","")</f>
        <v/>
      </c>
      <c r="L46" s="167" t="str">
        <f>IF(B46=Ref!$A$8,ABS(SUM(I40:I46)-SUM(J40:J46)),"")</f>
        <v/>
      </c>
    </row>
    <row r="47" spans="1:12" ht="17.45" customHeight="1" x14ac:dyDescent="0.35">
      <c r="A47" s="155">
        <v>29</v>
      </c>
      <c r="B47" s="156" t="str">
        <f t="shared" si="1"/>
        <v>Samstag</v>
      </c>
      <c r="C47" s="157">
        <v>0.35416666666666669</v>
      </c>
      <c r="D47" s="157">
        <v>0.70833333333333337</v>
      </c>
      <c r="E47" s="157">
        <v>2.0833333333333332E-2</v>
      </c>
      <c r="F47" s="158">
        <f>IF(ISTEXT(C47),,D47-C47-E47)</f>
        <v>0.33333333333333337</v>
      </c>
      <c r="G47" s="159"/>
      <c r="H47" s="160">
        <f t="shared" si="2"/>
        <v>0</v>
      </c>
      <c r="I47" s="161" t="str" cm="1">
        <f t="array" ref="I47">IF(AND(F47&gt;H47,OR(AND(OR($B47&lt;&gt;Ref!$A$7,$H$56&gt;0),OR($B47&lt;&gt;Ref!$A$8,$H$57&gt;0)),COUNT(SEARCH(Sonderarbeit,$N47))&gt;=1),ISNONTEXT(C47),C47&lt;&gt;""),F47-H47,"")</f>
        <v/>
      </c>
      <c r="J47" s="162" t="str" cm="1">
        <f t="array" ref="J47">IF(OR(AND(F47&lt;H47,OR(AND(OR($B47&lt;&gt;Ref!$A$7,$H$56&gt;0),OR($B47&lt;&gt;Ref!$A$8,$H$57&gt;0)),COUNT(SEARCH(Sonderarbeit,$N47))&gt;=1)),C47="Ausgleich"),H47-F47,"")</f>
        <v/>
      </c>
      <c r="K47" s="166" t="str">
        <f>IF(AND(B47=Ref!$A$8,SUM(I41:I47)&lt;SUM(J41:J47)),"-","")</f>
        <v/>
      </c>
      <c r="L47" s="167" t="str">
        <f>IF(B47=Ref!$A$8,ABS(SUM(I41:I47)-SUM(J41:J47)),"")</f>
        <v/>
      </c>
    </row>
    <row r="48" spans="1:12" ht="17.45" customHeight="1" x14ac:dyDescent="0.35">
      <c r="A48" s="155">
        <v>30</v>
      </c>
      <c r="B48" s="156" t="str">
        <f t="shared" si="1"/>
        <v>Sonntag</v>
      </c>
      <c r="C48" s="157">
        <v>0.35416666666666669</v>
      </c>
      <c r="D48" s="157">
        <v>0.70833333333333337</v>
      </c>
      <c r="E48" s="157">
        <v>2.0833333333333332E-2</v>
      </c>
      <c r="F48" s="158">
        <f>IF(ISTEXT(C48),,D48-C48-E48)</f>
        <v>0.33333333333333337</v>
      </c>
      <c r="G48" s="159"/>
      <c r="H48" s="160">
        <f t="shared" si="2"/>
        <v>0</v>
      </c>
      <c r="I48" s="161" t="str" cm="1">
        <f t="array" ref="I48">IF(AND(F48&gt;H48,OR(AND(OR($B48&lt;&gt;Ref!$A$7,$H$56&gt;0),OR($B48&lt;&gt;Ref!$A$8,$H$57&gt;0)),COUNT(SEARCH(Sonderarbeit,$N48))&gt;=1),ISNONTEXT(C48),C48&lt;&gt;""),F48-H48,"")</f>
        <v/>
      </c>
      <c r="J48" s="162" t="str" cm="1">
        <f t="array" ref="J48">IF(OR(AND(F48&lt;H48,OR(AND(OR($B48&lt;&gt;Ref!$A$7,$H$56&gt;0),OR($B48&lt;&gt;Ref!$A$8,$H$57&gt;0)),COUNT(SEARCH(Sonderarbeit,$N48))&gt;=1)),C48="Ausgleich"),H48-F48,"")</f>
        <v/>
      </c>
      <c r="K48" s="166" t="str">
        <f>IF(AND(B48=Ref!$A$8,SUM(I42:I48)&lt;SUM(J42:J48)),"-","")</f>
        <v/>
      </c>
      <c r="L48" s="167">
        <f>IF(B48=Ref!$A$8,ABS(SUM(I42:I48)-SUM(J42:J48)),"")</f>
        <v>2.083333333333337E-2</v>
      </c>
    </row>
    <row r="49" spans="1:14" ht="17.45" customHeight="1" x14ac:dyDescent="0.35">
      <c r="A49" s="155">
        <v>31</v>
      </c>
      <c r="B49" s="156" t="str">
        <f t="shared" si="1"/>
        <v>Montag</v>
      </c>
      <c r="C49" s="157">
        <v>0.35416666666666669</v>
      </c>
      <c r="D49" s="157">
        <v>0.70833333333333337</v>
      </c>
      <c r="E49" s="157">
        <v>2.0833333333333332E-2</v>
      </c>
      <c r="F49" s="170">
        <f>IF(ISTEXT(C49),,D49-C49-E49)</f>
        <v>0.33333333333333337</v>
      </c>
      <c r="G49" s="171"/>
      <c r="H49" s="160">
        <f t="shared" si="2"/>
        <v>0.33333333333333331</v>
      </c>
      <c r="I49" s="161" t="str" cm="1">
        <f t="array" ref="I49">IF(AND(F49&gt;H49,OR(AND(OR($B49&lt;&gt;Ref!$A$7,$H$56&gt;0),OR($B49&lt;&gt;Ref!$A$8,$H$57&gt;0)),COUNT(SEARCH(Sonderarbeit,$N49))&gt;=1),ISNONTEXT(C49),C49&lt;&gt;""),F49-H49,"")</f>
        <v/>
      </c>
      <c r="J49" s="162" t="str" cm="1">
        <f t="array" ref="J49">IF(OR(AND(F49&lt;H49,OR(AND(OR($B49&lt;&gt;Ref!$A$7,$H$56&gt;0),OR($B49&lt;&gt;Ref!$A$8,$H$57&gt;0)),COUNT(SEARCH(Sonderarbeit,$N49))&gt;=1)),C49="Ausgleich"),H49-F49,"")</f>
        <v/>
      </c>
      <c r="K49" s="172" t="str">
        <f ca="1">IF(SUM(INDIRECT("I"&amp;ROW()-WEEKDAY(DATE(J$11,MONTH(I$11),A49),3)):I49) &lt; SUM(INDIRECT("j"&amp;ROW()-WEEKDAY(DATE(J$11,MONTH(I$11),A49),3)):J49),"-","")</f>
        <v/>
      </c>
      <c r="L49" s="173">
        <f ca="1">ABS(SUM(INDIRECT("I"&amp;ROW()-WEEKDAY(DATE(J$11,MONTH(I$11),A49),3)):I49)-SUM(INDIRECT("j"&amp;ROW()-WEEKDAY(DATE(J$11,MONTH(I$11),A49))):J49))</f>
        <v>0</v>
      </c>
      <c r="N49" s="174"/>
    </row>
    <row r="50" spans="1:14" s="183" customFormat="1" ht="17.45" customHeight="1" thickBot="1" x14ac:dyDescent="0.4">
      <c r="A50" s="175" t="str">
        <f>Jan!A50</f>
        <v>Sonstige Zeiten laut beigefügter Aufstellung (s. Anlage):</v>
      </c>
      <c r="B50" s="176"/>
      <c r="C50" s="177"/>
      <c r="D50" s="178"/>
      <c r="E50" s="178"/>
      <c r="F50" s="178"/>
      <c r="G50" s="178"/>
      <c r="H50" s="179"/>
      <c r="I50" s="180">
        <v>0</v>
      </c>
      <c r="J50" s="180">
        <v>0</v>
      </c>
      <c r="K50" s="181"/>
      <c r="L50" s="182"/>
      <c r="M50" s="99"/>
      <c r="N50" s="100"/>
    </row>
    <row r="51" spans="1:14" x14ac:dyDescent="0.2">
      <c r="A51" s="184" t="s">
        <v>3</v>
      </c>
      <c r="B51" s="184"/>
      <c r="C51" s="184"/>
      <c r="D51" s="184"/>
      <c r="H51" s="280">
        <f>Jul!H51</f>
        <v>0.33333333333333331</v>
      </c>
      <c r="I51" s="185">
        <f>SUM(I17:I50)</f>
        <v>1.3541666666666687</v>
      </c>
      <c r="J51" s="186">
        <f>SUM(J17:J50)</f>
        <v>0</v>
      </c>
      <c r="K51" s="187" t="str">
        <f ca="1">IF(SUMIF(K19:K49,"",L19:L49)&lt;SUMIF(K19:K49,"-",L19:L49),"-","")</f>
        <v/>
      </c>
      <c r="L51" s="188">
        <f ca="1">ABS(SUMIF(K19:K49,"",L19:L49)-SUMIF(K19:K49,"-",L19:L49))</f>
        <v>8.3333333333333481E-2</v>
      </c>
    </row>
    <row r="52" spans="1:14" ht="13.5" thickBot="1" x14ac:dyDescent="0.25">
      <c r="A52" s="189"/>
      <c r="B52" s="189"/>
      <c r="C52" s="189"/>
      <c r="D52" s="189"/>
      <c r="G52" s="190" t="s">
        <v>12</v>
      </c>
      <c r="H52" s="281">
        <f>Jul!H52</f>
        <v>0.33333333333333331</v>
      </c>
      <c r="I52" s="191"/>
      <c r="J52" s="192"/>
      <c r="K52" s="193"/>
      <c r="L52" s="194"/>
    </row>
    <row r="53" spans="1:14" x14ac:dyDescent="0.2">
      <c r="A53" s="189"/>
      <c r="B53" s="189"/>
      <c r="C53" s="189"/>
      <c r="D53" s="189"/>
      <c r="G53" s="195"/>
      <c r="H53" s="281">
        <f>Jul!H53</f>
        <v>0.33333333333333331</v>
      </c>
      <c r="I53" s="196">
        <f>IF(I51&gt;J51,I51-J51,0)</f>
        <v>1.3541666666666687</v>
      </c>
      <c r="J53" s="197" t="str">
        <f>IF(J51&gt;I51,J51-I51,"")</f>
        <v/>
      </c>
      <c r="K53" s="198"/>
      <c r="L53" s="198"/>
    </row>
    <row r="54" spans="1:14" ht="13.5" thickBot="1" x14ac:dyDescent="0.25">
      <c r="A54" s="199" t="s">
        <v>15</v>
      </c>
      <c r="B54" s="199"/>
      <c r="C54" s="199"/>
      <c r="D54" s="199"/>
      <c r="E54" s="200"/>
      <c r="F54" s="200"/>
      <c r="G54" s="190" t="s">
        <v>13</v>
      </c>
      <c r="H54" s="281">
        <f>Jul!H54</f>
        <v>0.33333333333333331</v>
      </c>
      <c r="I54" s="201"/>
      <c r="J54" s="202"/>
      <c r="K54" s="198"/>
      <c r="L54" s="198"/>
    </row>
    <row r="55" spans="1:14" ht="13.5" thickBot="1" x14ac:dyDescent="0.25">
      <c r="A55" s="203" t="s">
        <v>4</v>
      </c>
      <c r="B55" s="203"/>
      <c r="C55" s="203"/>
      <c r="D55" s="203"/>
      <c r="E55" s="200"/>
      <c r="F55" s="200"/>
      <c r="G55" s="200"/>
      <c r="H55" s="281">
        <f>Jul!H55</f>
        <v>0.3125</v>
      </c>
      <c r="I55" s="200"/>
      <c r="J55" s="200"/>
      <c r="K55" s="204"/>
      <c r="L55" s="204"/>
    </row>
    <row r="56" spans="1:14" ht="13.35" customHeight="1" x14ac:dyDescent="0.2">
      <c r="A56" s="189"/>
      <c r="B56" s="189"/>
      <c r="C56" s="189"/>
      <c r="D56" s="189"/>
      <c r="E56" s="205" t="str">
        <f>Jan!E56</f>
        <v xml:space="preserve"> </v>
      </c>
      <c r="F56" s="206"/>
      <c r="G56" s="207" t="str">
        <f>IF(E56=" ", " ", IF(Mantelbogen!D26=I11,Mantelbogen!C29,Jul!G58))</f>
        <v xml:space="preserve"> </v>
      </c>
      <c r="H56" s="282">
        <v>0</v>
      </c>
      <c r="I56" s="223" t="s">
        <v>133</v>
      </c>
      <c r="J56" s="224"/>
      <c r="K56" s="204"/>
      <c r="L56" s="204"/>
    </row>
    <row r="57" spans="1:14" ht="13.5" thickBot="1" x14ac:dyDescent="0.25">
      <c r="A57" s="189"/>
      <c r="B57" s="189"/>
      <c r="C57" s="189"/>
      <c r="D57" s="189"/>
      <c r="E57" s="205" t="str">
        <f>Jan!E57</f>
        <v xml:space="preserve"> </v>
      </c>
      <c r="F57" s="207"/>
      <c r="G57" s="207" t="str">
        <f>IF(E56=" ", " ", -COUNTIF(C19:C49, "Urlaub*" ))</f>
        <v xml:space="preserve"> </v>
      </c>
      <c r="H57" s="283">
        <v>0</v>
      </c>
      <c r="I57" s="225"/>
      <c r="J57" s="226"/>
      <c r="K57" s="204"/>
      <c r="L57" s="208"/>
      <c r="M57" s="209"/>
    </row>
    <row r="58" spans="1:14" ht="21.95" customHeight="1" thickBot="1" x14ac:dyDescent="0.25">
      <c r="A58" s="199" t="s">
        <v>10</v>
      </c>
      <c r="B58" s="199"/>
      <c r="C58" s="199"/>
      <c r="D58" s="199"/>
      <c r="E58" s="205" t="str">
        <f>Jan!E58</f>
        <v xml:space="preserve"> </v>
      </c>
      <c r="F58" s="210"/>
      <c r="G58" s="211" t="str">
        <f>IF(E56=" ", " ", IF(Mantelbogen!C29 &gt; 0.0001, G56+G57, 0))</f>
        <v xml:space="preserve"> </v>
      </c>
      <c r="H58" s="287">
        <f>SUM(H51:H57)</f>
        <v>1.6458333333333333</v>
      </c>
      <c r="I58" s="227"/>
      <c r="J58" s="228"/>
      <c r="L58" s="212" t="str">
        <f>Mantelbogen!D50</f>
        <v>15.12.2025  HAdW / G. Wolff</v>
      </c>
      <c r="M58" s="209"/>
    </row>
    <row r="59" spans="1:14" x14ac:dyDescent="0.2">
      <c r="F59" s="213"/>
    </row>
    <row r="60" spans="1:14" x14ac:dyDescent="0.2">
      <c r="G60" s="214"/>
      <c r="H60" s="214"/>
      <c r="I60" s="214"/>
      <c r="J60" s="207"/>
    </row>
  </sheetData>
  <sheetProtection algorithmName="SHA-512" hashValue="WaD3X3icS20HuQMDRijRLv6yG/LVl69Zm50KLItvh86kCxF7RDBmA1rRu7jzKul1q6iTB8G9oO2dz22Qw1DEqw==" saltValue="8ulUjl/qnuEHktd/SClnGA==" spinCount="100000" sheet="1" objects="1" scenarios="1"/>
  <mergeCells count="64">
    <mergeCell ref="A1:F2"/>
    <mergeCell ref="A3:F3"/>
    <mergeCell ref="A4:F6"/>
    <mergeCell ref="M15:M16"/>
    <mergeCell ref="A54:D54"/>
    <mergeCell ref="G60:I60"/>
    <mergeCell ref="A55:D55"/>
    <mergeCell ref="A56:D57"/>
    <mergeCell ref="I56:J58"/>
    <mergeCell ref="A58:D58"/>
    <mergeCell ref="J53:J54"/>
    <mergeCell ref="I53:I54"/>
    <mergeCell ref="F48:G48"/>
    <mergeCell ref="F49:G49"/>
    <mergeCell ref="A51:D51"/>
    <mergeCell ref="I51:I52"/>
    <mergeCell ref="J51:J52"/>
    <mergeCell ref="A52:D53"/>
    <mergeCell ref="F47:G47"/>
    <mergeCell ref="F36:G36"/>
    <mergeCell ref="F37:G37"/>
    <mergeCell ref="F38:G38"/>
    <mergeCell ref="F39:G39"/>
    <mergeCell ref="F40:G40"/>
    <mergeCell ref="F41:G41"/>
    <mergeCell ref="F42:G42"/>
    <mergeCell ref="F43:G43"/>
    <mergeCell ref="F44:G44"/>
    <mergeCell ref="F45:G45"/>
    <mergeCell ref="F46:G46"/>
    <mergeCell ref="H15:H18"/>
    <mergeCell ref="F22:G22"/>
    <mergeCell ref="F35:G35"/>
    <mergeCell ref="F24:G24"/>
    <mergeCell ref="F25:G25"/>
    <mergeCell ref="F26:G26"/>
    <mergeCell ref="F27:G27"/>
    <mergeCell ref="F28:G28"/>
    <mergeCell ref="F29:G29"/>
    <mergeCell ref="F30:G30"/>
    <mergeCell ref="F31:G31"/>
    <mergeCell ref="F32:G32"/>
    <mergeCell ref="F33:G33"/>
    <mergeCell ref="F34:G34"/>
    <mergeCell ref="E15:E18"/>
    <mergeCell ref="F15:G18"/>
    <mergeCell ref="F19:G19"/>
    <mergeCell ref="F20:G20"/>
    <mergeCell ref="F21:G21"/>
    <mergeCell ref="K51:K52"/>
    <mergeCell ref="L51:L52"/>
    <mergeCell ref="G1:J7"/>
    <mergeCell ref="A11:B11"/>
    <mergeCell ref="A13:B13"/>
    <mergeCell ref="A15:A18"/>
    <mergeCell ref="I15:J15"/>
    <mergeCell ref="I17:I18"/>
    <mergeCell ref="J17:J18"/>
    <mergeCell ref="K15:L16"/>
    <mergeCell ref="K17:L18"/>
    <mergeCell ref="F23:G23"/>
    <mergeCell ref="B15:B18"/>
    <mergeCell ref="C15:C18"/>
    <mergeCell ref="D15:D18"/>
  </mergeCells>
  <phoneticPr fontId="0" type="noConversion"/>
  <conditionalFormatting sqref="A19:A49 C19:L49">
    <cfRule type="expression" dxfId="73" priority="1">
      <formula>COUNT(SEARCH(Sonderarbeit,$N19))&gt;=1</formula>
    </cfRule>
  </conditionalFormatting>
  <conditionalFormatting sqref="A19:L49">
    <cfRule type="expression" dxfId="72" priority="5">
      <formula>AND(ISTEXT($C19),$C19&lt;&gt;"Kinderkrankentag",$C19&lt;&gt;"Urlaub",$C19&lt;&gt;"Krank",$C19&lt;&gt;"Ausgleich")</formula>
    </cfRule>
  </conditionalFormatting>
  <conditionalFormatting sqref="C19:C49">
    <cfRule type="expression" dxfId="70" priority="7">
      <formula>ISTEXT($C19)</formula>
    </cfRule>
  </conditionalFormatting>
  <conditionalFormatting sqref="D19:H49">
    <cfRule type="expression" dxfId="66" priority="4">
      <formula>AND(ISTEXT($C19),OR($C19="Kinderkrankentag",$C19="Urlaub",$C19="Krank",$C19="Ausgleich"))</formula>
    </cfRule>
  </conditionalFormatting>
  <conditionalFormatting sqref="D19:J49">
    <cfRule type="expression" dxfId="65" priority="3">
      <formula>AND(ISTEXT($C19),$C19&lt;&gt;"Kinderkrankentag",$C19&lt;&gt;"Urlaub",$C19&lt;&gt;"Krank",$C19&lt;&gt;"Ausgleich")</formula>
    </cfRule>
  </conditionalFormatting>
  <conditionalFormatting sqref="F19:F49">
    <cfRule type="expression" dxfId="63" priority="11">
      <formula>AND(ISNONTEXT($C19),$F19 &gt; 0.666667)</formula>
    </cfRule>
  </conditionalFormatting>
  <dataValidations count="1">
    <dataValidation type="custom" errorStyle="warning" allowBlank="1" showErrorMessage="1" errorTitle="Samstagsarbeit" error="Tragen Sie hier bitte nur etwas ein, wenn Sie tatsächlich REGELMÄßIG und angeordnet Samstag arbeiten. Ansonsten tragen Sie bitte am entsprechenden Tag in Spalte N „Samstagsarbeit“ ein und der entsprechende Tag wird verfügbar." promptTitle="Samstagsarbeit" prompt="Tragen Sie hier bitte nur etwas ein, wenn Sie tatsächlich REGELMÄßIG und angeordnet Samstag arbeiten. Ansonsten tragen Sie bitte am entsprechenden Tag in Spalte N „Samstagsarbeit“ ein und der entsprechende Tag wird verfügbar." sqref="H56" xr:uid="{CCE95276-0D66-4D62-8D24-158D62C5CE7C}">
      <formula1>$A$4="Arbeitszeitblatt"</formula1>
    </dataValidation>
  </dataValidations>
  <printOptions horizontalCentered="1" verticalCentered="1"/>
  <pageMargins left="1.0236220472440944" right="0.23622047244094491" top="0.15748031496062992" bottom="0.19685039370078741" header="0.15748031496062992" footer="0.15748031496062992"/>
  <pageSetup paperSize="9" scale="82" orientation="portrait" horizontalDpi="1200" verticalDpi="1200"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 id="{7709E967-B2F0-48F9-BAAA-289191278F3A}">
            <xm:f>OR(AND($B19=Ref!$A$7,$H$56=0), AND($B19=Ref!$A$8,$H$57=0), NOT( ISERROR(FIND("feiertag",LOWER($C19)) ) ) )</xm:f>
            <x14:dxf>
              <fill>
                <patternFill patternType="solid">
                  <bgColor theme="4" tint="0.79998168889431442"/>
                </patternFill>
              </fill>
            </x14:dxf>
          </x14:cfRule>
          <xm:sqref>A19:L49</xm:sqref>
        </x14:conditionalFormatting>
        <x14:conditionalFormatting xmlns:xm="http://schemas.microsoft.com/office/excel/2006/main">
          <x14:cfRule type="expression" priority="9" id="{1E41A6D5-9DB6-4AB6-9B04-72F89AA7A6CB}">
            <xm:f>AND($B19=Ref!$A$7, $H$56&gt;0.00001)</xm:f>
            <x14:dxf>
              <font>
                <b val="0"/>
                <i val="0"/>
                <color theme="1"/>
              </font>
              <fill>
                <patternFill patternType="none">
                  <bgColor auto="1"/>
                </patternFill>
              </fill>
            </x14:dxf>
          </x14:cfRule>
          <x14:cfRule type="expression" priority="10" id="{2A1E62D7-7CE5-49FE-A9B6-D79D98FE3FD6}">
            <xm:f>AND($B19=Ref!$A$8, $H$57&gt;0.00001)</xm:f>
            <x14:dxf>
              <font>
                <b val="0"/>
                <i val="0"/>
              </font>
              <fill>
                <patternFill patternType="none">
                  <bgColor auto="1"/>
                </patternFill>
              </fill>
            </x14:dxf>
          </x14:cfRule>
          <xm:sqref>C19:I49</xm:sqref>
        </x14:conditionalFormatting>
        <x14:conditionalFormatting xmlns:xm="http://schemas.microsoft.com/office/excel/2006/main">
          <x14:cfRule type="expression" priority="8" id="{B503D4CA-FA67-4C4A-BF98-2E0FDB3D2394}">
            <xm:f>OR(AND($B19=Ref!$A$7, $H$56&lt;0.00001),AND($B19=Ref!$A$8, $H$57&lt;0.00001))</xm:f>
            <x14:dxf>
              <font>
                <color theme="4" tint="0.79998168889431442"/>
              </font>
              <fill>
                <patternFill>
                  <bgColor theme="4" tint="0.79998168889431442"/>
                </patternFill>
              </fill>
            </x14:dxf>
          </x14:cfRule>
          <xm:sqref>C19:J49</xm:sqref>
        </x14:conditionalFormatting>
        <x14:conditionalFormatting xmlns:xm="http://schemas.microsoft.com/office/excel/2006/main">
          <x14:cfRule type="expression" priority="2" id="{FC5CAFA0-46E7-461A-B005-324273FD6A02}">
            <xm:f>AND(OR(AND($F19 &gt; 0.250001, $E19 &lt; 0.020833332), AND($F19 &gt; 0.375, $E19 &lt; 0.03124999)  ),OR(AND($B19&lt;&gt;Ref!$A$7, $B19&lt;&gt;Ref!$A$8),COUNT(SEARCH(Sonderarbeit,$N19))&gt;=1),ISNUMBER($C19))</xm:f>
            <x14:dxf>
              <fill>
                <patternFill>
                  <bgColor rgb="FFFF0000"/>
                </patternFill>
              </fill>
            </x14:dxf>
          </x14:cfRule>
          <xm:sqref>E19:E49</xm:sqref>
        </x14:conditionalFormatting>
      </x14:conditionalFormattings>
    </ext>
    <ext xmlns:x14="http://schemas.microsoft.com/office/spreadsheetml/2009/9/main" uri="{CCE6A557-97BC-4b89-ADB6-D9C93CAAB3DF}">
      <x14:dataValidations xmlns:xm="http://schemas.microsoft.com/office/excel/2006/main" count="1">
        <x14:dataValidation type="custom" errorStyle="information" allowBlank="1" showInputMessage="1" showErrorMessage="1" errorTitle="Samstagsarbeit" error="Tragen Sie hier bitte nur die tasächlich angefallene Arbeit ein. Tragen Sie ggf. anfallende Zuschläge auf ein separates Tabellenblatt ein und übertragen diese in das Kästchen I50." xr:uid="{DEAB0913-B58F-459C-9D87-B6B72D95F467}">
          <x14:formula1>
            <xm:f>NOT(OFFSET(C19,0,2-COLUMN(C19))=Ref!$A$7)</xm:f>
          </x14:formula1>
          <xm:sqref>C19:E49</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15</vt:i4>
      </vt:variant>
      <vt:variant>
        <vt:lpstr>Named Ranges</vt:lpstr>
      </vt:variant>
      <vt:variant>
        <vt:i4>24</vt:i4>
      </vt:variant>
    </vt:vector>
  </HeadingPairs>
  <TitlesOfParts>
    <vt:vector size="39" baseType="lpstr">
      <vt:lpstr>Mantelbogen</vt:lpstr>
      <vt:lpstr>Jan</vt:lpstr>
      <vt:lpstr>Feb</vt:lpstr>
      <vt:lpstr>Mar</vt:lpstr>
      <vt:lpstr>Apr</vt:lpstr>
      <vt:lpstr>Mai</vt:lpstr>
      <vt:lpstr>Jun</vt:lpstr>
      <vt:lpstr>Jul</vt:lpstr>
      <vt:lpstr>Aug</vt:lpstr>
      <vt:lpstr>Sep</vt:lpstr>
      <vt:lpstr>Okt</vt:lpstr>
      <vt:lpstr>Nov</vt:lpstr>
      <vt:lpstr>Dez</vt:lpstr>
      <vt:lpstr>Urlaub &amp; Ausgleich</vt:lpstr>
      <vt:lpstr>Ref</vt:lpstr>
      <vt:lpstr>Apr!Druck_Area</vt:lpstr>
      <vt:lpstr>Dez!Druck_Area</vt:lpstr>
      <vt:lpstr>Feb!Druck_Area</vt:lpstr>
      <vt:lpstr>Jan!Druck_Area</vt:lpstr>
      <vt:lpstr>Jun!Druck_Area</vt:lpstr>
      <vt:lpstr>Mantelbogen!Druck_Area</vt:lpstr>
      <vt:lpstr>Mar!Druck_Area</vt:lpstr>
      <vt:lpstr>Nov!Druck_Area</vt:lpstr>
      <vt:lpstr>Okt!Druck_Area</vt:lpstr>
      <vt:lpstr>Apr!Print_Area</vt:lpstr>
      <vt:lpstr>Aug!Print_Area</vt:lpstr>
      <vt:lpstr>Dez!Print_Area</vt:lpstr>
      <vt:lpstr>Feb!Print_Area</vt:lpstr>
      <vt:lpstr>Jan!Print_Area</vt:lpstr>
      <vt:lpstr>Jul!Print_Area</vt:lpstr>
      <vt:lpstr>Jun!Print_Area</vt:lpstr>
      <vt:lpstr>Mai!Print_Area</vt:lpstr>
      <vt:lpstr>Mantelbogen!Print_Area</vt:lpstr>
      <vt:lpstr>Mar!Print_Area</vt:lpstr>
      <vt:lpstr>Nov!Print_Area</vt:lpstr>
      <vt:lpstr>Okt!Print_Area</vt:lpstr>
      <vt:lpstr>Sep!Print_Area</vt:lpstr>
      <vt:lpstr>tblMonate</vt:lpstr>
      <vt:lpstr>Textcode</vt:lpstr>
    </vt:vector>
  </TitlesOfParts>
  <Company>HAdW</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Arbeitszeitblatt-2024</dc:title>
  <dc:creator>Siebert</dc:creator>
  <cp:lastModifiedBy>Georg Wolff</cp:lastModifiedBy>
  <cp:lastPrinted>2024-01-11T07:06:54Z</cp:lastPrinted>
  <dcterms:created xsi:type="dcterms:W3CDTF">2008-06-09T11:23:42Z</dcterms:created>
  <dcterms:modified xsi:type="dcterms:W3CDTF">2025-12-15T14:41:38Z</dcterms:modified>
  <cp:category>Personal</cp:category>
</cp:coreProperties>
</file>