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codeName="ThisWorkbook" checkCompatibility="1"/>
  <mc:AlternateContent xmlns:mc="http://schemas.openxmlformats.org/markup-compatibility/2006">
    <mc:Choice Requires="x15">
      <x15ac:absPath xmlns:x15ac="http://schemas.microsoft.com/office/spreadsheetml/2010/11/ac" url="E:\Users\Mitarbeiter\Desktop\Laufende Arbeit\Arbeitszeit-2023.NACHNAME-Vorname\"/>
    </mc:Choice>
  </mc:AlternateContent>
  <xr:revisionPtr revIDLastSave="0" documentId="13_ncr:1_{28A2722D-BAA9-46CF-8E0B-D418D3DAB13D}" xr6:coauthVersionLast="36" xr6:coauthVersionMax="36" xr10:uidLastSave="{00000000-0000-0000-0000-000000000000}"/>
  <workbookProtection workbookPassword="9BC9" lockStructure="1"/>
  <bookViews>
    <workbookView xWindow="6640" yWindow="50" windowWidth="8260" windowHeight="8720" tabRatio="558" activeTab="1" xr2:uid="{00000000-000D-0000-FFFF-FFFF00000000}"/>
  </bookViews>
  <sheets>
    <sheet name="Mantelbogen" sheetId="42" r:id="rId1"/>
    <sheet name="Jan" sheetId="30" r:id="rId2"/>
    <sheet name="Feb" sheetId="29" r:id="rId3"/>
    <sheet name="Mar" sheetId="28" r:id="rId4"/>
    <sheet name="Apr" sheetId="31" r:id="rId5"/>
    <sheet name="Mai" sheetId="32" r:id="rId6"/>
    <sheet name="Jun" sheetId="33" r:id="rId7"/>
    <sheet name="Jul" sheetId="40" r:id="rId8"/>
    <sheet name="Aug" sheetId="35" r:id="rId9"/>
    <sheet name="Sep" sheetId="38" r:id="rId10"/>
    <sheet name="Okt" sheetId="36" r:id="rId11"/>
    <sheet name="Nov" sheetId="37" r:id="rId12"/>
    <sheet name="Dez" sheetId="41" r:id="rId13"/>
  </sheets>
  <definedNames>
    <definedName name="Druck_Area" localSheetId="4">Apr!$A:$M</definedName>
    <definedName name="Druck_Area" localSheetId="12">Dez!$A:$M</definedName>
    <definedName name="Druck_Area" localSheetId="2">Feb!$A:$M</definedName>
    <definedName name="Druck_Area" localSheetId="1">Jan!$A:$M</definedName>
    <definedName name="Druck_Area" localSheetId="6">Jun!$A:$M</definedName>
    <definedName name="Druck_Area" localSheetId="0">Mantelbogen!$A$1:$D$48</definedName>
    <definedName name="Druck_Area" localSheetId="3">Mar!$A:$M</definedName>
    <definedName name="Druck_Area" localSheetId="11">Nov!$A:$M</definedName>
    <definedName name="Druck_Area" localSheetId="10">Okt!$A$1:$M$60</definedName>
    <definedName name="_xlnm.Print_Area" localSheetId="4">Apr!$A:$M</definedName>
    <definedName name="_xlnm.Print_Area" localSheetId="8">Aug!$A:$M</definedName>
    <definedName name="_xlnm.Print_Area" localSheetId="12">Dez!$A:$M</definedName>
    <definedName name="_xlnm.Print_Area" localSheetId="2">Feb!$A:$M</definedName>
    <definedName name="_xlnm.Print_Area" localSheetId="1">Jan!$A:$M</definedName>
    <definedName name="_xlnm.Print_Area" localSheetId="7">Jul!$A:$M</definedName>
    <definedName name="_xlnm.Print_Area" localSheetId="6">Jun!$A:$M</definedName>
    <definedName name="_xlnm.Print_Area" localSheetId="5">Mai!$A:$M</definedName>
    <definedName name="_xlnm.Print_Area" localSheetId="0">Mantelbogen!$A$1:$E$47</definedName>
    <definedName name="_xlnm.Print_Area" localSheetId="3">Mar!$A:$M</definedName>
    <definedName name="_xlnm.Print_Area" localSheetId="11">Nov!$A:$M</definedName>
    <definedName name="_xlnm.Print_Area" localSheetId="10">Okt!$A:$M</definedName>
    <definedName name="_xlnm.Print_Area" localSheetId="9">Sep!$A:$M</definedName>
  </definedNames>
  <calcPr calcId="191029"/>
</workbook>
</file>

<file path=xl/calcChain.xml><?xml version="1.0" encoding="utf-8"?>
<calcChain xmlns="http://schemas.openxmlformats.org/spreadsheetml/2006/main">
  <c r="N48" i="37" l="1"/>
  <c r="N47" i="37"/>
  <c r="N44" i="36"/>
  <c r="N43" i="36"/>
  <c r="N38" i="40" l="1"/>
  <c r="N37" i="40"/>
  <c r="F28" i="31"/>
  <c r="B47" i="28"/>
  <c r="N38" i="30"/>
  <c r="N37" i="30"/>
  <c r="N45" i="31"/>
  <c r="N44" i="31"/>
  <c r="L49" i="29" l="1"/>
  <c r="F47" i="29"/>
  <c r="B19" i="30"/>
  <c r="F23" i="30"/>
  <c r="E34" i="42" l="1"/>
  <c r="F49" i="36" l="1"/>
  <c r="E35" i="42" l="1"/>
  <c r="E57" i="30" s="1"/>
  <c r="E37" i="42"/>
  <c r="E58" i="30" s="1"/>
  <c r="E56" i="30"/>
  <c r="C30" i="42"/>
  <c r="G56" i="30" l="1"/>
  <c r="G57" i="30"/>
  <c r="D18" i="42"/>
  <c r="G58" i="30" l="1"/>
  <c r="C33" i="42"/>
  <c r="B33" i="42"/>
  <c r="E58" i="41"/>
  <c r="E57" i="41"/>
  <c r="E56" i="41"/>
  <c r="G57" i="41" s="1"/>
  <c r="E58" i="37"/>
  <c r="E57" i="37"/>
  <c r="E56" i="37"/>
  <c r="G57" i="37" s="1"/>
  <c r="E58" i="36"/>
  <c r="E57" i="36"/>
  <c r="E56" i="36"/>
  <c r="E58" i="38"/>
  <c r="E57" i="38"/>
  <c r="E56" i="38"/>
  <c r="E58" i="35"/>
  <c r="E57" i="35"/>
  <c r="E56" i="35"/>
  <c r="G57" i="35" s="1"/>
  <c r="E58" i="40"/>
  <c r="E57" i="40"/>
  <c r="E56" i="40"/>
  <c r="G57" i="40" s="1"/>
  <c r="E58" i="33"/>
  <c r="E57" i="33"/>
  <c r="E56" i="33"/>
  <c r="G57" i="33" s="1"/>
  <c r="E58" i="32"/>
  <c r="E57" i="32"/>
  <c r="E56" i="32"/>
  <c r="G57" i="32" s="1"/>
  <c r="E58" i="31"/>
  <c r="E57" i="31"/>
  <c r="E56" i="31"/>
  <c r="G57" i="31" s="1"/>
  <c r="E58" i="28"/>
  <c r="E57" i="28"/>
  <c r="E56" i="28"/>
  <c r="E58" i="29"/>
  <c r="E57" i="29"/>
  <c r="E56" i="29"/>
  <c r="G57" i="36" l="1"/>
  <c r="G57" i="38"/>
  <c r="E55" i="38"/>
  <c r="G57" i="28"/>
  <c r="G57" i="29"/>
  <c r="F20" i="29"/>
  <c r="F21" i="29"/>
  <c r="F22" i="29"/>
  <c r="F23" i="29"/>
  <c r="F24" i="29"/>
  <c r="F25" i="29"/>
  <c r="F26" i="29"/>
  <c r="F27" i="29"/>
  <c r="F28" i="29"/>
  <c r="F29" i="29"/>
  <c r="F30" i="29"/>
  <c r="F31" i="29"/>
  <c r="F32" i="29"/>
  <c r="F33" i="29"/>
  <c r="F34" i="29"/>
  <c r="F35" i="29"/>
  <c r="F36" i="29"/>
  <c r="F37" i="29"/>
  <c r="F38" i="29"/>
  <c r="F39" i="29"/>
  <c r="F40" i="29"/>
  <c r="F41" i="29"/>
  <c r="F42" i="29"/>
  <c r="F43" i="29"/>
  <c r="F44" i="29"/>
  <c r="F45" i="29"/>
  <c r="F46" i="29"/>
  <c r="F19" i="29"/>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19" i="28"/>
  <c r="F20" i="31"/>
  <c r="F21" i="31"/>
  <c r="F22" i="31"/>
  <c r="F23" i="31"/>
  <c r="F24" i="31"/>
  <c r="F25" i="31"/>
  <c r="F26" i="31"/>
  <c r="F27" i="31"/>
  <c r="F29" i="31"/>
  <c r="F30" i="31"/>
  <c r="F31" i="31"/>
  <c r="F32" i="31"/>
  <c r="F33" i="31"/>
  <c r="F34" i="31"/>
  <c r="F35" i="31"/>
  <c r="F36" i="31"/>
  <c r="F37" i="31"/>
  <c r="F38" i="31"/>
  <c r="F39" i="31"/>
  <c r="F40" i="31"/>
  <c r="F41" i="31"/>
  <c r="F42" i="31"/>
  <c r="F43" i="31"/>
  <c r="F44" i="31"/>
  <c r="F45" i="31"/>
  <c r="F46" i="31"/>
  <c r="F47" i="31"/>
  <c r="F48" i="31"/>
  <c r="F19" i="31"/>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H19" i="32"/>
  <c r="F19" i="32"/>
  <c r="F20" i="33"/>
  <c r="F21" i="33"/>
  <c r="F22" i="33"/>
  <c r="F23" i="33"/>
  <c r="F24" i="33"/>
  <c r="F25" i="33"/>
  <c r="F26" i="33"/>
  <c r="F27" i="33"/>
  <c r="F28" i="33"/>
  <c r="F29" i="33"/>
  <c r="F30" i="33"/>
  <c r="F31" i="33"/>
  <c r="F32" i="33"/>
  <c r="F33" i="33"/>
  <c r="F34" i="33"/>
  <c r="F35" i="33"/>
  <c r="F36" i="33"/>
  <c r="F37" i="33"/>
  <c r="F38" i="33"/>
  <c r="F39" i="33"/>
  <c r="F40" i="33"/>
  <c r="F41" i="33"/>
  <c r="F42" i="33"/>
  <c r="F43" i="33"/>
  <c r="F44" i="33"/>
  <c r="F45" i="33"/>
  <c r="F46" i="33"/>
  <c r="F47" i="33"/>
  <c r="F48" i="33"/>
  <c r="F19" i="33"/>
  <c r="H42" i="41"/>
  <c r="H43" i="41"/>
  <c r="H44" i="41"/>
  <c r="F19" i="41"/>
  <c r="F20" i="41"/>
  <c r="F21" i="41"/>
  <c r="F22" i="41"/>
  <c r="F23" i="41"/>
  <c r="F24" i="41"/>
  <c r="F25" i="41"/>
  <c r="F26" i="41"/>
  <c r="F27" i="41"/>
  <c r="F28" i="41"/>
  <c r="F29" i="41"/>
  <c r="F30" i="41"/>
  <c r="F31" i="41"/>
  <c r="F32" i="41"/>
  <c r="F33" i="41"/>
  <c r="F34" i="41"/>
  <c r="F35" i="41"/>
  <c r="F36" i="41"/>
  <c r="F37" i="41"/>
  <c r="F38" i="41"/>
  <c r="F39" i="41"/>
  <c r="F40" i="41"/>
  <c r="F41" i="41"/>
  <c r="F42" i="41"/>
  <c r="F43" i="41"/>
  <c r="F44" i="41"/>
  <c r="F45" i="41"/>
  <c r="F46" i="41"/>
  <c r="F47" i="41"/>
  <c r="F48" i="41"/>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H19" i="37"/>
  <c r="F19" i="37"/>
  <c r="H21"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19" i="36"/>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19" i="38"/>
  <c r="F22" i="35"/>
  <c r="F23" i="35"/>
  <c r="F24" i="35"/>
  <c r="F25" i="35"/>
  <c r="F26" i="35"/>
  <c r="F27" i="35"/>
  <c r="F28" i="35"/>
  <c r="F29" i="35"/>
  <c r="F30" i="35"/>
  <c r="F31" i="35"/>
  <c r="F32" i="35"/>
  <c r="F33" i="35"/>
  <c r="F34" i="35"/>
  <c r="F35" i="35"/>
  <c r="F36" i="35"/>
  <c r="F37" i="35"/>
  <c r="F38" i="35"/>
  <c r="F39" i="35"/>
  <c r="F40" i="35"/>
  <c r="F41" i="35"/>
  <c r="F42" i="35"/>
  <c r="F43" i="35"/>
  <c r="F44" i="35"/>
  <c r="F45" i="35"/>
  <c r="F46" i="35"/>
  <c r="F47" i="35"/>
  <c r="F48" i="35"/>
  <c r="F49" i="35"/>
  <c r="F21" i="35"/>
  <c r="F20" i="35"/>
  <c r="F19" i="35"/>
  <c r="F20" i="30"/>
  <c r="F21" i="30"/>
  <c r="F22"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19" i="40"/>
  <c r="F20" i="40"/>
  <c r="F21" i="40"/>
  <c r="F22" i="40"/>
  <c r="F23" i="40"/>
  <c r="F24" i="40"/>
  <c r="F25" i="40"/>
  <c r="F26" i="40"/>
  <c r="F27" i="40"/>
  <c r="F28" i="40"/>
  <c r="F29" i="40"/>
  <c r="F36" i="40"/>
  <c r="F37" i="40"/>
  <c r="F38" i="40"/>
  <c r="F39" i="40"/>
  <c r="F40" i="40"/>
  <c r="F41" i="40"/>
  <c r="F42" i="40"/>
  <c r="F43" i="40"/>
  <c r="F44" i="40"/>
  <c r="F45" i="40"/>
  <c r="F46" i="40"/>
  <c r="F47" i="40"/>
  <c r="F48" i="40"/>
  <c r="F49" i="40"/>
  <c r="F31" i="40"/>
  <c r="F32" i="40"/>
  <c r="F33" i="40"/>
  <c r="F34" i="40"/>
  <c r="F35" i="40"/>
  <c r="F30" i="40"/>
  <c r="J11" i="30" l="1"/>
  <c r="D26" i="42"/>
  <c r="L58" i="41"/>
  <c r="L58" i="37"/>
  <c r="L58" i="36"/>
  <c r="L58" i="38"/>
  <c r="L58" i="35"/>
  <c r="L58" i="40"/>
  <c r="L58" i="33"/>
  <c r="L58" i="32"/>
  <c r="L58" i="31"/>
  <c r="L58" i="28"/>
  <c r="L58" i="29"/>
  <c r="A50" i="41"/>
  <c r="A50" i="37"/>
  <c r="A50" i="36"/>
  <c r="A50" i="38"/>
  <c r="A50" i="35"/>
  <c r="A50" i="40"/>
  <c r="A50" i="33"/>
  <c r="A50" i="32"/>
  <c r="A50" i="31"/>
  <c r="A50" i="28"/>
  <c r="A50" i="29"/>
  <c r="L58" i="30"/>
  <c r="D14" i="42"/>
  <c r="C24" i="42" s="1"/>
  <c r="A6" i="42"/>
  <c r="A7" i="42" s="1"/>
  <c r="A8" i="42" s="1"/>
  <c r="A9" i="42" s="1"/>
  <c r="A10" i="42" s="1"/>
  <c r="C11" i="30"/>
  <c r="C11" i="29" s="1"/>
  <c r="C11" i="28" s="1"/>
  <c r="C11" i="31" s="1"/>
  <c r="C11" i="32" s="1"/>
  <c r="C11" i="33" s="1"/>
  <c r="C11" i="40" s="1"/>
  <c r="C11" i="35" s="1"/>
  <c r="C11" i="38" s="1"/>
  <c r="C11" i="36" s="1"/>
  <c r="C11" i="37" s="1"/>
  <c r="C11" i="41" s="1"/>
  <c r="C13" i="30"/>
  <c r="C13" i="29" s="1"/>
  <c r="C13" i="28" s="1"/>
  <c r="C13" i="31" s="1"/>
  <c r="C13" i="32" s="1"/>
  <c r="C13" i="33" s="1"/>
  <c r="C13" i="40" s="1"/>
  <c r="C13" i="35" s="1"/>
  <c r="C13" i="38" s="1"/>
  <c r="C13" i="36" s="1"/>
  <c r="C13" i="37" s="1"/>
  <c r="C13" i="41" s="1"/>
  <c r="H52" i="30"/>
  <c r="H52" i="29" s="1"/>
  <c r="H52" i="28" s="1"/>
  <c r="H52" i="31" s="1"/>
  <c r="H52" i="32" s="1"/>
  <c r="H52" i="33" s="1"/>
  <c r="H52" i="40" s="1"/>
  <c r="H52" i="35" s="1"/>
  <c r="H52" i="38" s="1"/>
  <c r="H52" i="36" s="1"/>
  <c r="H52" i="37" s="1"/>
  <c r="H52" i="41" s="1"/>
  <c r="H53" i="30"/>
  <c r="H53" i="29" s="1"/>
  <c r="H53" i="28" s="1"/>
  <c r="H53" i="31" s="1"/>
  <c r="H53" i="32" s="1"/>
  <c r="H53" i="33" s="1"/>
  <c r="H53" i="40" s="1"/>
  <c r="H53" i="35" s="1"/>
  <c r="H53" i="38" s="1"/>
  <c r="H53" i="36" s="1"/>
  <c r="H53" i="37" s="1"/>
  <c r="H53" i="41" s="1"/>
  <c r="H54" i="30"/>
  <c r="H54" i="29" s="1"/>
  <c r="H54" i="28" s="1"/>
  <c r="H54" i="31" s="1"/>
  <c r="H54" i="32" s="1"/>
  <c r="H54" i="33" s="1"/>
  <c r="H54" i="40" s="1"/>
  <c r="H54" i="35" s="1"/>
  <c r="H54" i="38" s="1"/>
  <c r="H54" i="36" s="1"/>
  <c r="H54" i="37" s="1"/>
  <c r="H54" i="41" s="1"/>
  <c r="H55" i="30"/>
  <c r="H55" i="29" s="1"/>
  <c r="H55" i="28" s="1"/>
  <c r="H55" i="31" s="1"/>
  <c r="H55" i="32" s="1"/>
  <c r="H55" i="33" s="1"/>
  <c r="H55" i="40" s="1"/>
  <c r="H55" i="35" s="1"/>
  <c r="H55" i="38" s="1"/>
  <c r="H55" i="36" s="1"/>
  <c r="H55" i="37" s="1"/>
  <c r="H55" i="41" s="1"/>
  <c r="H51" i="30"/>
  <c r="H51" i="29" s="1"/>
  <c r="D24" i="42"/>
  <c r="D12" i="42"/>
  <c r="D11" i="42"/>
  <c r="D13" i="42" s="1"/>
  <c r="B44" i="30" l="1"/>
  <c r="B21" i="30"/>
  <c r="B25" i="30"/>
  <c r="B29" i="30"/>
  <c r="B33" i="30"/>
  <c r="B37" i="30"/>
  <c r="B41" i="30"/>
  <c r="B45" i="30"/>
  <c r="B49" i="30"/>
  <c r="B22" i="30"/>
  <c r="B26" i="30"/>
  <c r="B30" i="30"/>
  <c r="B34" i="30"/>
  <c r="B38" i="30"/>
  <c r="B46" i="30"/>
  <c r="B42" i="30"/>
  <c r="B23" i="30"/>
  <c r="B27" i="30"/>
  <c r="B31" i="30"/>
  <c r="B35" i="30"/>
  <c r="B39" i="30"/>
  <c r="B43" i="30"/>
  <c r="B47" i="30"/>
  <c r="B20" i="30"/>
  <c r="B24" i="30"/>
  <c r="B28" i="30"/>
  <c r="B32" i="30"/>
  <c r="B36" i="30"/>
  <c r="B40" i="30"/>
  <c r="B48" i="30"/>
  <c r="C20" i="42"/>
  <c r="C23" i="42"/>
  <c r="C19" i="42"/>
  <c r="C21" i="42"/>
  <c r="C22" i="42"/>
  <c r="I17" i="30"/>
  <c r="H51" i="28"/>
  <c r="H51" i="31" s="1"/>
  <c r="H51" i="32" s="1"/>
  <c r="H51" i="33" s="1"/>
  <c r="H51" i="40" s="1"/>
  <c r="H22" i="30"/>
  <c r="H27" i="30"/>
  <c r="H31" i="30"/>
  <c r="H35" i="30"/>
  <c r="H39" i="30"/>
  <c r="H43" i="30"/>
  <c r="H47" i="30"/>
  <c r="H49" i="30"/>
  <c r="H20" i="30"/>
  <c r="H25" i="30"/>
  <c r="H29" i="30"/>
  <c r="H33" i="30"/>
  <c r="H37" i="30"/>
  <c r="H41" i="30"/>
  <c r="H45" i="30"/>
  <c r="H23" i="30"/>
  <c r="H32" i="30"/>
  <c r="H40" i="30"/>
  <c r="H48" i="30"/>
  <c r="H21" i="30"/>
  <c r="H38" i="30"/>
  <c r="H44" i="30"/>
  <c r="H26" i="30"/>
  <c r="H34" i="30"/>
  <c r="H42" i="30"/>
  <c r="H30" i="30"/>
  <c r="H46" i="30"/>
  <c r="H28" i="30"/>
  <c r="H36" i="30"/>
  <c r="H58" i="30"/>
  <c r="H58" i="29"/>
  <c r="D25" i="42"/>
  <c r="J17" i="30"/>
  <c r="J11" i="31"/>
  <c r="J11" i="37"/>
  <c r="J11" i="29"/>
  <c r="J11" i="40"/>
  <c r="J11" i="36"/>
  <c r="J11" i="28"/>
  <c r="J11" i="33"/>
  <c r="J11" i="38"/>
  <c r="J11" i="41"/>
  <c r="J11" i="32"/>
  <c r="J11" i="35"/>
  <c r="A11" i="42"/>
  <c r="A12" i="42" s="1"/>
  <c r="A13" i="42" s="1"/>
  <c r="A14" i="42"/>
  <c r="B47" i="29" l="1"/>
  <c r="H47" i="29"/>
  <c r="N16" i="30"/>
  <c r="N17" i="30"/>
  <c r="N18" i="30"/>
  <c r="B40" i="29"/>
  <c r="B21" i="29"/>
  <c r="B25" i="29"/>
  <c r="B29" i="29"/>
  <c r="B33" i="29"/>
  <c r="B37" i="29"/>
  <c r="B41" i="29"/>
  <c r="B45" i="29"/>
  <c r="B22" i="29"/>
  <c r="B26" i="29"/>
  <c r="B30" i="29"/>
  <c r="B34" i="29"/>
  <c r="B42" i="29"/>
  <c r="B46" i="29"/>
  <c r="L46" i="29" s="1"/>
  <c r="B38" i="29"/>
  <c r="B23" i="29"/>
  <c r="B27" i="29"/>
  <c r="B31" i="29"/>
  <c r="B35" i="29"/>
  <c r="B39" i="29"/>
  <c r="B43" i="29"/>
  <c r="B19" i="29"/>
  <c r="B20" i="29"/>
  <c r="B24" i="29"/>
  <c r="B28" i="29"/>
  <c r="B32" i="29"/>
  <c r="B36" i="29"/>
  <c r="B44" i="29"/>
  <c r="K17" i="30"/>
  <c r="G56" i="29"/>
  <c r="G58" i="29" s="1"/>
  <c r="G56" i="28" s="1"/>
  <c r="G58" i="28" s="1"/>
  <c r="G56" i="31" s="1"/>
  <c r="G58" i="31" s="1"/>
  <c r="G56" i="32" s="1"/>
  <c r="G58" i="32" s="1"/>
  <c r="G56" i="33" s="1"/>
  <c r="G58" i="33" s="1"/>
  <c r="G56" i="40" s="1"/>
  <c r="G58" i="40" s="1"/>
  <c r="G56" i="35" s="1"/>
  <c r="G58" i="35" s="1"/>
  <c r="G56" i="38" s="1"/>
  <c r="G58" i="38" s="1"/>
  <c r="G56" i="36" s="1"/>
  <c r="G58" i="36" s="1"/>
  <c r="G56" i="37" s="1"/>
  <c r="G58" i="37" s="1"/>
  <c r="G56" i="41" s="1"/>
  <c r="G58" i="41" s="1"/>
  <c r="H37" i="40"/>
  <c r="H44" i="40"/>
  <c r="H30" i="40"/>
  <c r="B21" i="36"/>
  <c r="H26" i="36"/>
  <c r="H38" i="36"/>
  <c r="H31" i="36"/>
  <c r="H47" i="36"/>
  <c r="H19" i="36"/>
  <c r="H33" i="36"/>
  <c r="H24" i="36"/>
  <c r="H40" i="36"/>
  <c r="H45" i="36"/>
  <c r="H23" i="29"/>
  <c r="H27" i="29"/>
  <c r="H31" i="29"/>
  <c r="H35" i="29"/>
  <c r="H39" i="29"/>
  <c r="H43" i="29"/>
  <c r="H19" i="29"/>
  <c r="H20" i="29"/>
  <c r="H24" i="29"/>
  <c r="H28" i="29"/>
  <c r="H32" i="29"/>
  <c r="H36" i="29"/>
  <c r="H40" i="29"/>
  <c r="H44" i="29"/>
  <c r="H26" i="29"/>
  <c r="H34" i="29"/>
  <c r="H42" i="29"/>
  <c r="H22" i="29"/>
  <c r="H38" i="29"/>
  <c r="H25" i="29"/>
  <c r="H41" i="29"/>
  <c r="H21" i="29"/>
  <c r="H29" i="29"/>
  <c r="H37" i="29"/>
  <c r="H45" i="29"/>
  <c r="H30" i="29"/>
  <c r="H46" i="29"/>
  <c r="H33" i="29"/>
  <c r="H22" i="35"/>
  <c r="H38" i="35"/>
  <c r="H24" i="35"/>
  <c r="H29" i="35"/>
  <c r="H45" i="35"/>
  <c r="H31" i="35"/>
  <c r="H36" i="35"/>
  <c r="H43" i="35"/>
  <c r="J21" i="30"/>
  <c r="H28" i="38"/>
  <c r="H40" i="38"/>
  <c r="H33" i="38"/>
  <c r="H19" i="38"/>
  <c r="H35" i="38"/>
  <c r="H42" i="38"/>
  <c r="H26" i="38"/>
  <c r="H47" i="38"/>
  <c r="H21" i="38"/>
  <c r="B19" i="37"/>
  <c r="H30" i="37"/>
  <c r="H42" i="37"/>
  <c r="H21" i="37"/>
  <c r="H37" i="37"/>
  <c r="H28" i="37"/>
  <c r="H35" i="37"/>
  <c r="H23" i="37"/>
  <c r="H44" i="37"/>
  <c r="B19" i="32"/>
  <c r="H20" i="32"/>
  <c r="H24" i="32"/>
  <c r="H28" i="32"/>
  <c r="H32" i="32"/>
  <c r="H36" i="32"/>
  <c r="H40" i="32"/>
  <c r="H44" i="32"/>
  <c r="H48" i="32"/>
  <c r="H41" i="32"/>
  <c r="H21" i="32"/>
  <c r="H25" i="32"/>
  <c r="H29" i="32"/>
  <c r="H33" i="32"/>
  <c r="H37" i="32"/>
  <c r="H45" i="32"/>
  <c r="H49" i="32"/>
  <c r="H27" i="32"/>
  <c r="H35" i="32"/>
  <c r="H43" i="32"/>
  <c r="H23" i="32"/>
  <c r="H39" i="32"/>
  <c r="H34" i="32"/>
  <c r="H22" i="32"/>
  <c r="H30" i="32"/>
  <c r="H38" i="32"/>
  <c r="H46" i="32"/>
  <c r="H31" i="32"/>
  <c r="H47" i="32"/>
  <c r="H26" i="32"/>
  <c r="H42" i="32"/>
  <c r="H21" i="41"/>
  <c r="H33" i="41"/>
  <c r="H26" i="41"/>
  <c r="H47" i="41"/>
  <c r="H28" i="41"/>
  <c r="H19" i="41"/>
  <c r="H40" i="41"/>
  <c r="H35" i="41"/>
  <c r="H22" i="33"/>
  <c r="H26" i="33"/>
  <c r="H30" i="33"/>
  <c r="H34" i="33"/>
  <c r="H38" i="33"/>
  <c r="H42" i="33"/>
  <c r="H46" i="33"/>
  <c r="H19" i="33"/>
  <c r="H21" i="33"/>
  <c r="H27" i="33"/>
  <c r="H32" i="33"/>
  <c r="H37" i="33"/>
  <c r="H43" i="33"/>
  <c r="H48" i="33"/>
  <c r="H39" i="33"/>
  <c r="H24" i="33"/>
  <c r="H35" i="33"/>
  <c r="H45" i="33"/>
  <c r="H20" i="33"/>
  <c r="H31" i="33"/>
  <c r="H41" i="33"/>
  <c r="H23" i="33"/>
  <c r="H28" i="33"/>
  <c r="H33" i="33"/>
  <c r="H44" i="33"/>
  <c r="H29" i="33"/>
  <c r="H40" i="33"/>
  <c r="H25" i="33"/>
  <c r="H36" i="33"/>
  <c r="H47" i="33"/>
  <c r="H19" i="40"/>
  <c r="H23" i="40"/>
  <c r="H27" i="40"/>
  <c r="H32" i="40"/>
  <c r="H36" i="40"/>
  <c r="H40" i="40"/>
  <c r="H48" i="40"/>
  <c r="H22" i="40"/>
  <c r="H28" i="40"/>
  <c r="H34" i="40"/>
  <c r="H39" i="40"/>
  <c r="H49" i="40"/>
  <c r="H29" i="40"/>
  <c r="H41" i="40"/>
  <c r="H25" i="40"/>
  <c r="H42" i="40"/>
  <c r="H24" i="40"/>
  <c r="H35" i="40"/>
  <c r="H45" i="40"/>
  <c r="H20" i="40"/>
  <c r="H31" i="40"/>
  <c r="H46" i="40"/>
  <c r="H33" i="40"/>
  <c r="H38" i="40"/>
  <c r="H26" i="40"/>
  <c r="H43" i="40"/>
  <c r="H47" i="40"/>
  <c r="H21" i="40"/>
  <c r="J44" i="30"/>
  <c r="J33" i="30"/>
  <c r="H22" i="28"/>
  <c r="H26" i="28"/>
  <c r="H30" i="28"/>
  <c r="H34" i="28"/>
  <c r="H38" i="28"/>
  <c r="H42" i="28"/>
  <c r="H46" i="28"/>
  <c r="H23" i="28"/>
  <c r="H27" i="28"/>
  <c r="H31" i="28"/>
  <c r="H35" i="28"/>
  <c r="H39" i="28"/>
  <c r="H43" i="28"/>
  <c r="H47" i="28"/>
  <c r="H20" i="28"/>
  <c r="H28" i="28"/>
  <c r="H36" i="28"/>
  <c r="H44" i="28"/>
  <c r="H32" i="28"/>
  <c r="H48" i="28"/>
  <c r="H33" i="28"/>
  <c r="H49" i="28"/>
  <c r="H21" i="28"/>
  <c r="H29" i="28"/>
  <c r="H37" i="28"/>
  <c r="H45" i="28"/>
  <c r="H24" i="28"/>
  <c r="H40" i="28"/>
  <c r="H19" i="28"/>
  <c r="H25" i="28"/>
  <c r="H41" i="28"/>
  <c r="I49" i="30"/>
  <c r="H20" i="31"/>
  <c r="H24" i="31"/>
  <c r="H28" i="31"/>
  <c r="H32" i="31"/>
  <c r="H36" i="31"/>
  <c r="H40" i="31"/>
  <c r="H44" i="31"/>
  <c r="H48" i="31"/>
  <c r="H21" i="31"/>
  <c r="H25" i="31"/>
  <c r="H29" i="31"/>
  <c r="H33" i="31"/>
  <c r="H37" i="31"/>
  <c r="H41" i="31"/>
  <c r="H45" i="31"/>
  <c r="H22" i="31"/>
  <c r="H30" i="31"/>
  <c r="H38" i="31"/>
  <c r="H46" i="31"/>
  <c r="H26" i="31"/>
  <c r="H42" i="31"/>
  <c r="H35" i="31"/>
  <c r="H19" i="31"/>
  <c r="H23" i="31"/>
  <c r="H31" i="31"/>
  <c r="H39" i="31"/>
  <c r="H47" i="31"/>
  <c r="H34" i="31"/>
  <c r="H27" i="31"/>
  <c r="H43" i="31"/>
  <c r="J45" i="30"/>
  <c r="B49" i="41"/>
  <c r="B43" i="41"/>
  <c r="B44" i="41"/>
  <c r="B42" i="41"/>
  <c r="J37" i="30"/>
  <c r="I37" i="30"/>
  <c r="J48" i="30"/>
  <c r="J29" i="30"/>
  <c r="I46" i="30"/>
  <c r="I47" i="30"/>
  <c r="J31" i="30"/>
  <c r="I32" i="30"/>
  <c r="I36" i="30"/>
  <c r="I25" i="30"/>
  <c r="I39" i="30"/>
  <c r="I41" i="30"/>
  <c r="J28" i="30"/>
  <c r="J49" i="30"/>
  <c r="J34" i="30"/>
  <c r="J42" i="30"/>
  <c r="J30" i="30"/>
  <c r="I27" i="30"/>
  <c r="J32" i="30"/>
  <c r="J47" i="30"/>
  <c r="J46" i="30"/>
  <c r="I44" i="30"/>
  <c r="I34" i="30"/>
  <c r="J39" i="30"/>
  <c r="J26" i="30"/>
  <c r="J43" i="30"/>
  <c r="J36" i="30"/>
  <c r="I45" i="30"/>
  <c r="I26" i="30"/>
  <c r="I40" i="30"/>
  <c r="J40" i="30"/>
  <c r="I20" i="30"/>
  <c r="J20" i="30"/>
  <c r="B34" i="36"/>
  <c r="B42" i="36"/>
  <c r="B41" i="36"/>
  <c r="B36" i="36"/>
  <c r="B47" i="36"/>
  <c r="B43" i="36"/>
  <c r="B29" i="36"/>
  <c r="B23" i="36"/>
  <c r="B26" i="36"/>
  <c r="B30" i="36"/>
  <c r="B46" i="36"/>
  <c r="B48" i="36"/>
  <c r="B27" i="36"/>
  <c r="B39" i="36"/>
  <c r="B28" i="36"/>
  <c r="B20" i="36"/>
  <c r="B40" i="36"/>
  <c r="B49" i="36"/>
  <c r="B33" i="36"/>
  <c r="B45" i="36"/>
  <c r="B31" i="36"/>
  <c r="B44" i="36"/>
  <c r="B32" i="36"/>
  <c r="B37" i="36"/>
  <c r="B38" i="36"/>
  <c r="B22" i="36"/>
  <c r="B25" i="36"/>
  <c r="B35" i="36"/>
  <c r="B24" i="36"/>
  <c r="B19" i="36"/>
  <c r="I31" i="30"/>
  <c r="B32" i="37"/>
  <c r="B48" i="37"/>
  <c r="B44" i="37"/>
  <c r="B39" i="37"/>
  <c r="B20" i="37"/>
  <c r="B42" i="37"/>
  <c r="B35" i="37"/>
  <c r="B23" i="37"/>
  <c r="B46" i="37"/>
  <c r="B21" i="37"/>
  <c r="B24" i="37"/>
  <c r="B43" i="37"/>
  <c r="B40" i="37"/>
  <c r="B34" i="37"/>
  <c r="B30" i="37"/>
  <c r="B47" i="37"/>
  <c r="B45" i="37"/>
  <c r="B33" i="37"/>
  <c r="B37" i="37"/>
  <c r="B22" i="37"/>
  <c r="B26" i="37"/>
  <c r="B31" i="37"/>
  <c r="B38" i="37"/>
  <c r="B27" i="37"/>
  <c r="B25" i="37"/>
  <c r="B41" i="37"/>
  <c r="B36" i="37"/>
  <c r="B28" i="37"/>
  <c r="B29" i="37"/>
  <c r="I22" i="30"/>
  <c r="J22" i="30"/>
  <c r="I38" i="30"/>
  <c r="B24" i="38"/>
  <c r="B46" i="38"/>
  <c r="B30" i="38"/>
  <c r="B44" i="38"/>
  <c r="B48" i="38"/>
  <c r="B45" i="38"/>
  <c r="B26" i="38"/>
  <c r="B39" i="38"/>
  <c r="B29" i="38"/>
  <c r="B23" i="38"/>
  <c r="B21" i="38"/>
  <c r="B33" i="38"/>
  <c r="B25" i="38"/>
  <c r="B19" i="38"/>
  <c r="B22" i="38"/>
  <c r="B34" i="38"/>
  <c r="B37" i="38"/>
  <c r="B27" i="38"/>
  <c r="B47" i="38"/>
  <c r="B42" i="38"/>
  <c r="B41" i="38"/>
  <c r="B38" i="38"/>
  <c r="B31" i="38"/>
  <c r="B35" i="38"/>
  <c r="B40" i="38"/>
  <c r="B20" i="38"/>
  <c r="B28" i="38"/>
  <c r="B36" i="38"/>
  <c r="B32" i="38"/>
  <c r="B43" i="38"/>
  <c r="B41" i="33"/>
  <c r="B39" i="33"/>
  <c r="B42" i="33"/>
  <c r="B30" i="33"/>
  <c r="B40" i="33"/>
  <c r="B23" i="33"/>
  <c r="B20" i="33"/>
  <c r="B48" i="33"/>
  <c r="B33" i="33"/>
  <c r="B22" i="33"/>
  <c r="B43" i="33"/>
  <c r="B26" i="33"/>
  <c r="B25" i="33"/>
  <c r="B46" i="33"/>
  <c r="B28" i="33"/>
  <c r="B47" i="33"/>
  <c r="B45" i="33"/>
  <c r="B34" i="33"/>
  <c r="B27" i="33"/>
  <c r="B31" i="33"/>
  <c r="B19" i="33"/>
  <c r="B44" i="33"/>
  <c r="B21" i="33"/>
  <c r="B36" i="33"/>
  <c r="B38" i="33"/>
  <c r="B24" i="33"/>
  <c r="B35" i="33"/>
  <c r="B37" i="33"/>
  <c r="B29" i="33"/>
  <c r="B32" i="33"/>
  <c r="J25" i="30"/>
  <c r="A15" i="42"/>
  <c r="A18" i="42"/>
  <c r="L19" i="30"/>
  <c r="I35" i="30"/>
  <c r="J35" i="30"/>
  <c r="I30" i="30"/>
  <c r="B24" i="28"/>
  <c r="I24" i="28" s="1"/>
  <c r="B42" i="28"/>
  <c r="B49" i="28"/>
  <c r="B43" i="28"/>
  <c r="B48" i="28"/>
  <c r="B26" i="28"/>
  <c r="B28" i="28"/>
  <c r="B22" i="28"/>
  <c r="B34" i="28"/>
  <c r="B37" i="28"/>
  <c r="B41" i="28"/>
  <c r="B27" i="28"/>
  <c r="B25" i="28"/>
  <c r="B31" i="28"/>
  <c r="B40" i="28"/>
  <c r="B23" i="28"/>
  <c r="B20" i="28"/>
  <c r="B29" i="28"/>
  <c r="B36" i="28"/>
  <c r="B21" i="28"/>
  <c r="B44" i="28"/>
  <c r="B33" i="28"/>
  <c r="B38" i="28"/>
  <c r="B32" i="28"/>
  <c r="B46" i="28"/>
  <c r="B30" i="28"/>
  <c r="B19" i="28"/>
  <c r="B45" i="28"/>
  <c r="B35" i="28"/>
  <c r="B39" i="28"/>
  <c r="J27" i="30"/>
  <c r="I33" i="30"/>
  <c r="B32" i="40"/>
  <c r="B47" i="40"/>
  <c r="B39" i="40"/>
  <c r="B31" i="40"/>
  <c r="B46" i="40"/>
  <c r="B19" i="40"/>
  <c r="B45" i="40"/>
  <c r="B26" i="40"/>
  <c r="B22" i="40"/>
  <c r="B40" i="40"/>
  <c r="B34" i="40"/>
  <c r="B21" i="40"/>
  <c r="B41" i="40"/>
  <c r="B20" i="40"/>
  <c r="B25" i="40"/>
  <c r="B28" i="40"/>
  <c r="B44" i="40"/>
  <c r="B27" i="40"/>
  <c r="B23" i="40"/>
  <c r="B38" i="40"/>
  <c r="B33" i="40"/>
  <c r="B30" i="40"/>
  <c r="B37" i="40"/>
  <c r="B43" i="40"/>
  <c r="B24" i="40"/>
  <c r="B48" i="40"/>
  <c r="B49" i="40"/>
  <c r="B35" i="40"/>
  <c r="B42" i="40"/>
  <c r="B36" i="40"/>
  <c r="B29" i="40"/>
  <c r="B39" i="31"/>
  <c r="B36" i="31"/>
  <c r="B24" i="31"/>
  <c r="B48" i="31"/>
  <c r="B20" i="31"/>
  <c r="B41" i="31"/>
  <c r="B34" i="31"/>
  <c r="B33" i="31"/>
  <c r="B46" i="31"/>
  <c r="B30" i="31"/>
  <c r="B25" i="31"/>
  <c r="B19" i="31"/>
  <c r="B22" i="31"/>
  <c r="B40" i="31"/>
  <c r="B29" i="31"/>
  <c r="B38" i="31"/>
  <c r="B31" i="31"/>
  <c r="B21" i="31"/>
  <c r="B45" i="31"/>
  <c r="B35" i="31"/>
  <c r="B23" i="31"/>
  <c r="B44" i="31"/>
  <c r="B42" i="31"/>
  <c r="B43" i="31"/>
  <c r="B32" i="31"/>
  <c r="B26" i="31"/>
  <c r="B28" i="31"/>
  <c r="B47" i="31"/>
  <c r="B37" i="31"/>
  <c r="B27" i="31"/>
  <c r="I43" i="30"/>
  <c r="B38" i="35"/>
  <c r="B43" i="35"/>
  <c r="B33" i="35"/>
  <c r="B47" i="35"/>
  <c r="B27" i="35"/>
  <c r="B28" i="35"/>
  <c r="B41" i="35"/>
  <c r="B30" i="35"/>
  <c r="B37" i="35"/>
  <c r="B21" i="35"/>
  <c r="B44" i="35"/>
  <c r="B23" i="35"/>
  <c r="B26" i="35"/>
  <c r="B29" i="35"/>
  <c r="B24" i="35"/>
  <c r="B22" i="35"/>
  <c r="B31" i="35"/>
  <c r="B34" i="35"/>
  <c r="B20" i="35"/>
  <c r="B32" i="35"/>
  <c r="B49" i="35"/>
  <c r="B42" i="35"/>
  <c r="B48" i="35"/>
  <c r="B19" i="35"/>
  <c r="B45" i="35"/>
  <c r="B39" i="35"/>
  <c r="B25" i="35"/>
  <c r="B36" i="35"/>
  <c r="B40" i="35"/>
  <c r="B46" i="35"/>
  <c r="B35" i="35"/>
  <c r="J41" i="30"/>
  <c r="I42" i="30"/>
  <c r="J38" i="30"/>
  <c r="I28" i="30"/>
  <c r="I23" i="30"/>
  <c r="J23" i="30"/>
  <c r="B26" i="32"/>
  <c r="B45" i="32"/>
  <c r="B36" i="32"/>
  <c r="B37" i="32"/>
  <c r="B21" i="32"/>
  <c r="B25" i="32"/>
  <c r="B40" i="32"/>
  <c r="B30" i="32"/>
  <c r="B23" i="32"/>
  <c r="B46" i="32"/>
  <c r="B38" i="32"/>
  <c r="B24" i="32"/>
  <c r="B47" i="32"/>
  <c r="B31" i="32"/>
  <c r="B29" i="32"/>
  <c r="B44" i="32"/>
  <c r="B27" i="32"/>
  <c r="B48" i="32"/>
  <c r="B20" i="32"/>
  <c r="B34" i="32"/>
  <c r="B42" i="32"/>
  <c r="B39" i="32"/>
  <c r="B28" i="32"/>
  <c r="B35" i="32"/>
  <c r="B22" i="32"/>
  <c r="B49" i="32"/>
  <c r="B33" i="32"/>
  <c r="B41" i="32"/>
  <c r="B43" i="32"/>
  <c r="B32" i="32"/>
  <c r="B25" i="41"/>
  <c r="B37" i="41"/>
  <c r="B46" i="41"/>
  <c r="B26" i="41"/>
  <c r="B32" i="41"/>
  <c r="B30" i="41"/>
  <c r="B28" i="41"/>
  <c r="B19" i="41"/>
  <c r="B27" i="41"/>
  <c r="B29" i="41"/>
  <c r="B47" i="41"/>
  <c r="B35" i="41"/>
  <c r="B40" i="41"/>
  <c r="B38" i="41"/>
  <c r="B31" i="41"/>
  <c r="B34" i="41"/>
  <c r="B24" i="41"/>
  <c r="B48" i="41"/>
  <c r="B23" i="41"/>
  <c r="B36" i="41"/>
  <c r="B39" i="41"/>
  <c r="B41" i="41"/>
  <c r="B22" i="41"/>
  <c r="B21" i="41"/>
  <c r="B20" i="41"/>
  <c r="B45" i="41"/>
  <c r="B33" i="41"/>
  <c r="I48" i="30"/>
  <c r="I29" i="30"/>
  <c r="I21" i="30"/>
  <c r="H58" i="28"/>
  <c r="H51" i="35"/>
  <c r="H21" i="35" s="1"/>
  <c r="L49" i="30"/>
  <c r="K49" i="30"/>
  <c r="J47" i="29" l="1"/>
  <c r="I47" i="29"/>
  <c r="L41" i="30"/>
  <c r="L27" i="30"/>
  <c r="L48" i="30"/>
  <c r="L34" i="30"/>
  <c r="L20" i="30"/>
  <c r="H34" i="35"/>
  <c r="J34" i="35" s="1"/>
  <c r="H27" i="35"/>
  <c r="I27" i="35" s="1"/>
  <c r="H20" i="35"/>
  <c r="J20" i="35" s="1"/>
  <c r="H41" i="35"/>
  <c r="J41" i="35" s="1"/>
  <c r="H48" i="35"/>
  <c r="J48" i="35" s="1"/>
  <c r="L23" i="30"/>
  <c r="L30" i="30"/>
  <c r="L44" i="30"/>
  <c r="L37" i="30"/>
  <c r="H23" i="35"/>
  <c r="J23" i="35" s="1"/>
  <c r="H44" i="35"/>
  <c r="J44" i="35" s="1"/>
  <c r="H37" i="35"/>
  <c r="I37" i="35" s="1"/>
  <c r="H30" i="35"/>
  <c r="I30" i="35" s="1"/>
  <c r="L32" i="30"/>
  <c r="L25" i="30"/>
  <c r="L46" i="30"/>
  <c r="L39" i="30"/>
  <c r="H46" i="35"/>
  <c r="H32" i="35"/>
  <c r="H39" i="35"/>
  <c r="H25" i="35"/>
  <c r="L33" i="30"/>
  <c r="L47" i="30"/>
  <c r="H26" i="35"/>
  <c r="I26" i="35" s="1"/>
  <c r="H40" i="35"/>
  <c r="I40" i="35" s="1"/>
  <c r="I23" i="28"/>
  <c r="H47" i="35"/>
  <c r="I47" i="35" s="1"/>
  <c r="H33" i="35"/>
  <c r="I33" i="35" s="1"/>
  <c r="H19" i="35"/>
  <c r="I19" i="35" s="1"/>
  <c r="J35" i="31"/>
  <c r="J45" i="29"/>
  <c r="I21" i="31"/>
  <c r="H42" i="35"/>
  <c r="J42" i="35" s="1"/>
  <c r="H49" i="35"/>
  <c r="J49" i="35" s="1"/>
  <c r="H28" i="35"/>
  <c r="I28" i="35" s="1"/>
  <c r="H35" i="35"/>
  <c r="I35" i="35" s="1"/>
  <c r="I47" i="32"/>
  <c r="J31" i="28"/>
  <c r="I31" i="28"/>
  <c r="I35" i="31"/>
  <c r="I38" i="28"/>
  <c r="I38" i="29"/>
  <c r="I42" i="31"/>
  <c r="I43" i="40"/>
  <c r="J28" i="31"/>
  <c r="J38" i="28"/>
  <c r="J45" i="33"/>
  <c r="L38" i="30"/>
  <c r="L26" i="30"/>
  <c r="L24" i="30"/>
  <c r="I22" i="40"/>
  <c r="L31" i="30"/>
  <c r="L45" i="30"/>
  <c r="J45" i="28"/>
  <c r="I29" i="40"/>
  <c r="J24" i="28"/>
  <c r="J42" i="31"/>
  <c r="I45" i="28"/>
  <c r="L22" i="30"/>
  <c r="L43" i="30"/>
  <c r="L29" i="30"/>
  <c r="J21" i="35"/>
  <c r="L36" i="30"/>
  <c r="I36" i="40"/>
  <c r="I26" i="32"/>
  <c r="I31" i="29"/>
  <c r="I44" i="28"/>
  <c r="J38" i="33"/>
  <c r="I30" i="28"/>
  <c r="L34" i="28" s="1"/>
  <c r="I33" i="32"/>
  <c r="J40" i="29"/>
  <c r="I40" i="29"/>
  <c r="K30" i="30"/>
  <c r="J38" i="29"/>
  <c r="K33" i="30"/>
  <c r="K43" i="30"/>
  <c r="I45" i="29"/>
  <c r="I28" i="31"/>
  <c r="I37" i="28"/>
  <c r="J21" i="31"/>
  <c r="L40" i="30"/>
  <c r="K36" i="30"/>
  <c r="K34" i="30"/>
  <c r="K39" i="30"/>
  <c r="K27" i="30"/>
  <c r="K29" i="30"/>
  <c r="J51" i="30"/>
  <c r="K35" i="30"/>
  <c r="L28" i="30"/>
  <c r="L35" i="30"/>
  <c r="K41" i="30"/>
  <c r="K38" i="30"/>
  <c r="K26" i="30"/>
  <c r="K46" i="30"/>
  <c r="K37" i="30"/>
  <c r="K40" i="30"/>
  <c r="I33" i="41"/>
  <c r="J33" i="41"/>
  <c r="J23" i="32"/>
  <c r="I23" i="32"/>
  <c r="J45" i="32"/>
  <c r="I45" i="32"/>
  <c r="I43" i="31"/>
  <c r="J43" i="31"/>
  <c r="I45" i="31"/>
  <c r="J45" i="31"/>
  <c r="I39" i="31"/>
  <c r="J39" i="31"/>
  <c r="I26" i="31"/>
  <c r="J26" i="31"/>
  <c r="J46" i="31"/>
  <c r="I46" i="31"/>
  <c r="J25" i="31"/>
  <c r="I25" i="31"/>
  <c r="J37" i="31"/>
  <c r="I37" i="31"/>
  <c r="I43" i="29"/>
  <c r="J43" i="29"/>
  <c r="J19" i="29"/>
  <c r="I19" i="29"/>
  <c r="J22" i="29"/>
  <c r="I22" i="29"/>
  <c r="J44" i="29"/>
  <c r="I44" i="29"/>
  <c r="J41" i="29"/>
  <c r="I41" i="29"/>
  <c r="J39" i="29"/>
  <c r="I39" i="29"/>
  <c r="J29" i="29"/>
  <c r="I29" i="29"/>
  <c r="I37" i="29"/>
  <c r="J37" i="29"/>
  <c r="J45" i="40"/>
  <c r="I45" i="40"/>
  <c r="J39" i="40"/>
  <c r="I39" i="40"/>
  <c r="J37" i="40"/>
  <c r="I37" i="40"/>
  <c r="I25" i="40"/>
  <c r="J25" i="40"/>
  <c r="J27" i="28"/>
  <c r="I27" i="28"/>
  <c r="J36" i="28"/>
  <c r="I36" i="28"/>
  <c r="I46" i="28"/>
  <c r="J46" i="28"/>
  <c r="I22" i="28"/>
  <c r="J22" i="28"/>
  <c r="J40" i="28"/>
  <c r="I40" i="28"/>
  <c r="K19" i="30"/>
  <c r="K20" i="30"/>
  <c r="K21" i="30"/>
  <c r="K25" i="30"/>
  <c r="K23" i="30"/>
  <c r="K22" i="30"/>
  <c r="L21" i="30"/>
  <c r="J42" i="33"/>
  <c r="I42" i="33"/>
  <c r="J28" i="33"/>
  <c r="I28" i="33"/>
  <c r="J27" i="33"/>
  <c r="I27" i="33"/>
  <c r="J32" i="33"/>
  <c r="I32" i="33"/>
  <c r="J25" i="33"/>
  <c r="I25" i="33"/>
  <c r="I33" i="38"/>
  <c r="J33" i="38"/>
  <c r="J35" i="37"/>
  <c r="I35" i="37"/>
  <c r="J28" i="37"/>
  <c r="I28" i="37"/>
  <c r="K28" i="30"/>
  <c r="K47" i="30"/>
  <c r="J31" i="29"/>
  <c r="K31" i="30"/>
  <c r="K32" i="30"/>
  <c r="I40" i="32"/>
  <c r="J47" i="41"/>
  <c r="I47" i="41"/>
  <c r="J48" i="32"/>
  <c r="I48" i="32"/>
  <c r="J27" i="32"/>
  <c r="I27" i="32"/>
  <c r="J31" i="32"/>
  <c r="I31" i="32"/>
  <c r="I38" i="32"/>
  <c r="J38" i="32"/>
  <c r="J22" i="35"/>
  <c r="I22" i="35"/>
  <c r="J36" i="35"/>
  <c r="I36" i="35"/>
  <c r="I29" i="31"/>
  <c r="J29" i="31"/>
  <c r="J19" i="31"/>
  <c r="I19" i="31"/>
  <c r="I40" i="31"/>
  <c r="J40" i="31"/>
  <c r="I33" i="31"/>
  <c r="J33" i="31"/>
  <c r="I30" i="31"/>
  <c r="J30" i="31"/>
  <c r="I44" i="31"/>
  <c r="J44" i="31"/>
  <c r="J26" i="29"/>
  <c r="I26" i="29"/>
  <c r="J42" i="29"/>
  <c r="I42" i="29"/>
  <c r="I35" i="29"/>
  <c r="J35" i="29"/>
  <c r="J24" i="29"/>
  <c r="I24" i="29"/>
  <c r="J36" i="29"/>
  <c r="I36" i="29"/>
  <c r="J47" i="40"/>
  <c r="I47" i="40"/>
  <c r="J32" i="40"/>
  <c r="I32" i="40"/>
  <c r="J46" i="40"/>
  <c r="I46" i="40"/>
  <c r="J33" i="40"/>
  <c r="I33" i="40"/>
  <c r="I19" i="40"/>
  <c r="L19" i="40" s="1"/>
  <c r="J19" i="40"/>
  <c r="J34" i="28"/>
  <c r="I34" i="28"/>
  <c r="J39" i="28"/>
  <c r="I39" i="28"/>
  <c r="J42" i="28"/>
  <c r="I42" i="28"/>
  <c r="L48" i="28" s="1"/>
  <c r="J48" i="28"/>
  <c r="I48" i="28"/>
  <c r="J21" i="28"/>
  <c r="I21" i="28"/>
  <c r="L27" i="28" s="1"/>
  <c r="J43" i="28"/>
  <c r="I43" i="28"/>
  <c r="I47" i="28"/>
  <c r="J47" i="28"/>
  <c r="I24" i="33"/>
  <c r="J24" i="33"/>
  <c r="I34" i="33"/>
  <c r="J34" i="33"/>
  <c r="J41" i="33"/>
  <c r="I41" i="33"/>
  <c r="J46" i="33"/>
  <c r="I46" i="33"/>
  <c r="J47" i="38"/>
  <c r="I47" i="38"/>
  <c r="J26" i="38"/>
  <c r="I26" i="38"/>
  <c r="I38" i="36"/>
  <c r="J38" i="36"/>
  <c r="K45" i="30"/>
  <c r="J36" i="32"/>
  <c r="I36" i="32"/>
  <c r="J35" i="32"/>
  <c r="I35" i="32"/>
  <c r="L42" i="30"/>
  <c r="K48" i="30"/>
  <c r="K44" i="30"/>
  <c r="I51" i="30"/>
  <c r="I19" i="41"/>
  <c r="J19" i="41"/>
  <c r="J26" i="41"/>
  <c r="I26" i="41"/>
  <c r="J41" i="32"/>
  <c r="I41" i="32"/>
  <c r="I24" i="32"/>
  <c r="J24" i="32"/>
  <c r="J20" i="32"/>
  <c r="I20" i="32"/>
  <c r="J29" i="32"/>
  <c r="I29" i="32"/>
  <c r="I28" i="32"/>
  <c r="J28" i="32"/>
  <c r="J21" i="32"/>
  <c r="I21" i="32"/>
  <c r="I29" i="35"/>
  <c r="J29" i="35"/>
  <c r="J22" i="31"/>
  <c r="I22" i="31"/>
  <c r="J32" i="31"/>
  <c r="I32" i="31"/>
  <c r="J33" i="29"/>
  <c r="I33" i="29"/>
  <c r="J21" i="29"/>
  <c r="I21" i="29"/>
  <c r="I20" i="29"/>
  <c r="J20" i="29"/>
  <c r="I23" i="29"/>
  <c r="J23" i="29"/>
  <c r="J46" i="29"/>
  <c r="I46" i="29"/>
  <c r="J26" i="40"/>
  <c r="I26" i="40"/>
  <c r="J23" i="40"/>
  <c r="I23" i="40"/>
  <c r="J25" i="28"/>
  <c r="I25" i="28"/>
  <c r="J35" i="28"/>
  <c r="I35" i="28"/>
  <c r="L41" i="28" s="1"/>
  <c r="I41" i="28"/>
  <c r="J41" i="28"/>
  <c r="J28" i="28"/>
  <c r="I28" i="28"/>
  <c r="J20" i="28"/>
  <c r="I20" i="28"/>
  <c r="J19" i="28"/>
  <c r="I19" i="28"/>
  <c r="L20" i="28" s="1"/>
  <c r="A19" i="42"/>
  <c r="A16" i="42"/>
  <c r="I45" i="33"/>
  <c r="J48" i="33"/>
  <c r="I48" i="33"/>
  <c r="J33" i="33"/>
  <c r="I33" i="33"/>
  <c r="I19" i="33"/>
  <c r="L19" i="33" s="1"/>
  <c r="J19" i="33"/>
  <c r="I21" i="33"/>
  <c r="J21" i="33"/>
  <c r="J39" i="33"/>
  <c r="I39" i="33"/>
  <c r="I40" i="38"/>
  <c r="J40" i="38"/>
  <c r="J42" i="37"/>
  <c r="I42" i="37"/>
  <c r="J21" i="37"/>
  <c r="I21" i="37"/>
  <c r="J31" i="36"/>
  <c r="I31" i="36"/>
  <c r="I38" i="33"/>
  <c r="I44" i="32"/>
  <c r="J44" i="32"/>
  <c r="K42" i="30"/>
  <c r="K24" i="30"/>
  <c r="I31" i="33"/>
  <c r="J31" i="33"/>
  <c r="J40" i="41"/>
  <c r="I40" i="41"/>
  <c r="J37" i="32"/>
  <c r="I37" i="32"/>
  <c r="I43" i="32"/>
  <c r="J43" i="32"/>
  <c r="I34" i="32"/>
  <c r="J34" i="32"/>
  <c r="I22" i="32"/>
  <c r="L22" i="32" s="1"/>
  <c r="J22" i="32"/>
  <c r="J30" i="32"/>
  <c r="I30" i="32"/>
  <c r="J49" i="32"/>
  <c r="I49" i="32"/>
  <c r="J42" i="32"/>
  <c r="I42" i="32"/>
  <c r="J43" i="35"/>
  <c r="I43" i="35"/>
  <c r="I38" i="31"/>
  <c r="J38" i="31"/>
  <c r="J36" i="31"/>
  <c r="I36" i="31"/>
  <c r="I47" i="31"/>
  <c r="J47" i="31"/>
  <c r="I31" i="31"/>
  <c r="J31" i="31"/>
  <c r="I24" i="31"/>
  <c r="J24" i="31"/>
  <c r="J23" i="31"/>
  <c r="I23" i="31"/>
  <c r="I27" i="29"/>
  <c r="J27" i="29"/>
  <c r="J34" i="29"/>
  <c r="I34" i="29"/>
  <c r="I30" i="29"/>
  <c r="J30" i="29"/>
  <c r="I28" i="29"/>
  <c r="J28" i="29"/>
  <c r="J25" i="29"/>
  <c r="I25" i="29"/>
  <c r="J32" i="29"/>
  <c r="I32" i="29"/>
  <c r="J40" i="40"/>
  <c r="I40" i="40"/>
  <c r="J38" i="40"/>
  <c r="I38" i="40"/>
  <c r="I24" i="40"/>
  <c r="J24" i="40"/>
  <c r="I31" i="40"/>
  <c r="J31" i="40"/>
  <c r="I30" i="40"/>
  <c r="J30" i="40"/>
  <c r="I44" i="40"/>
  <c r="J44" i="40"/>
  <c r="J32" i="28"/>
  <c r="I32" i="28"/>
  <c r="I26" i="28"/>
  <c r="J26" i="28"/>
  <c r="J29" i="28"/>
  <c r="I29" i="28"/>
  <c r="I49" i="28"/>
  <c r="J49" i="28"/>
  <c r="J33" i="28"/>
  <c r="I33" i="28"/>
  <c r="J40" i="33"/>
  <c r="I40" i="33"/>
  <c r="J26" i="33"/>
  <c r="I26" i="33"/>
  <c r="J35" i="33"/>
  <c r="I35" i="33"/>
  <c r="J20" i="33"/>
  <c r="I20" i="33"/>
  <c r="J47" i="33"/>
  <c r="I47" i="33"/>
  <c r="I19" i="38"/>
  <c r="J19" i="38"/>
  <c r="L19" i="37"/>
  <c r="I24" i="36"/>
  <c r="J24" i="36"/>
  <c r="J45" i="36"/>
  <c r="I45" i="36"/>
  <c r="J40" i="32"/>
  <c r="I37" i="33"/>
  <c r="I44" i="33"/>
  <c r="I23" i="33"/>
  <c r="I30" i="33"/>
  <c r="J26" i="32"/>
  <c r="J47" i="32"/>
  <c r="J33" i="32"/>
  <c r="J30" i="28"/>
  <c r="J23" i="28"/>
  <c r="I41" i="31"/>
  <c r="I20" i="31"/>
  <c r="H58" i="31"/>
  <c r="I48" i="31"/>
  <c r="I34" i="31"/>
  <c r="I27" i="31"/>
  <c r="J44" i="28"/>
  <c r="J37" i="28"/>
  <c r="J43" i="40"/>
  <c r="J22" i="40"/>
  <c r="J36" i="40"/>
  <c r="H51" i="38"/>
  <c r="J29" i="40"/>
  <c r="L47" i="29"/>
  <c r="K47" i="29"/>
  <c r="L49" i="28"/>
  <c r="K49" i="28"/>
  <c r="K49" i="29" l="1"/>
  <c r="K46" i="29"/>
  <c r="I23" i="35"/>
  <c r="I53" i="30"/>
  <c r="I17" i="29" s="1"/>
  <c r="L45" i="31"/>
  <c r="I34" i="35"/>
  <c r="I48" i="35"/>
  <c r="L38" i="29"/>
  <c r="L31" i="29"/>
  <c r="L24" i="29"/>
  <c r="L45" i="29"/>
  <c r="L46" i="28"/>
  <c r="L32" i="28"/>
  <c r="L39" i="28"/>
  <c r="L25" i="28"/>
  <c r="J27" i="35"/>
  <c r="I20" i="35"/>
  <c r="L21" i="35" s="1"/>
  <c r="I41" i="35"/>
  <c r="H24" i="38"/>
  <c r="H38" i="38"/>
  <c r="H31" i="38"/>
  <c r="H45" i="38"/>
  <c r="L20" i="32"/>
  <c r="L27" i="29"/>
  <c r="L41" i="29"/>
  <c r="L34" i="29"/>
  <c r="H20" i="38"/>
  <c r="H48" i="38"/>
  <c r="H27" i="38"/>
  <c r="H41" i="38"/>
  <c r="H34" i="38"/>
  <c r="L43" i="29"/>
  <c r="L21" i="33"/>
  <c r="L19" i="31"/>
  <c r="L22" i="29"/>
  <c r="L36" i="29"/>
  <c r="L20" i="29"/>
  <c r="H36" i="38"/>
  <c r="H29" i="38"/>
  <c r="H43" i="38"/>
  <c r="H22" i="38"/>
  <c r="L37" i="29"/>
  <c r="L23" i="28"/>
  <c r="L44" i="28"/>
  <c r="L30" i="29"/>
  <c r="L30" i="28"/>
  <c r="L44" i="29"/>
  <c r="L37" i="28"/>
  <c r="I49" i="35"/>
  <c r="H44" i="38"/>
  <c r="I44" i="38" s="1"/>
  <c r="H37" i="38"/>
  <c r="I37" i="38" s="1"/>
  <c r="H23" i="38"/>
  <c r="I23" i="38" s="1"/>
  <c r="H30" i="38"/>
  <c r="I30" i="38" s="1"/>
  <c r="H39" i="38"/>
  <c r="H32" i="38"/>
  <c r="H46" i="38"/>
  <c r="H25" i="38"/>
  <c r="L24" i="32"/>
  <c r="L43" i="28"/>
  <c r="L36" i="28"/>
  <c r="L29" i="28"/>
  <c r="L29" i="29"/>
  <c r="L22" i="28"/>
  <c r="I42" i="35"/>
  <c r="J30" i="35"/>
  <c r="L40" i="29"/>
  <c r="I44" i="35"/>
  <c r="L19" i="28"/>
  <c r="J35" i="35"/>
  <c r="J37" i="35"/>
  <c r="L35" i="29"/>
  <c r="L28" i="29"/>
  <c r="L20" i="33"/>
  <c r="L23" i="32"/>
  <c r="L19" i="41"/>
  <c r="L42" i="29"/>
  <c r="L35" i="28"/>
  <c r="L28" i="28"/>
  <c r="L42" i="28"/>
  <c r="L21" i="29"/>
  <c r="L21" i="32"/>
  <c r="L40" i="28"/>
  <c r="J28" i="35"/>
  <c r="I21" i="35"/>
  <c r="L26" i="28"/>
  <c r="L47" i="28"/>
  <c r="L33" i="29"/>
  <c r="L26" i="29"/>
  <c r="L33" i="28"/>
  <c r="L19" i="29"/>
  <c r="L21" i="28"/>
  <c r="K40" i="29"/>
  <c r="L19" i="38"/>
  <c r="K44" i="29"/>
  <c r="K19" i="29"/>
  <c r="L23" i="29"/>
  <c r="K19" i="31"/>
  <c r="K45" i="29"/>
  <c r="K37" i="29"/>
  <c r="K51" i="30"/>
  <c r="L51" i="30"/>
  <c r="K33" i="29"/>
  <c r="K41" i="29"/>
  <c r="J53" i="30"/>
  <c r="J17" i="29" s="1"/>
  <c r="J51" i="29" s="1"/>
  <c r="K31" i="29"/>
  <c r="L39" i="29"/>
  <c r="K43" i="29"/>
  <c r="K42" i="29"/>
  <c r="K19" i="37"/>
  <c r="K19" i="33"/>
  <c r="K21" i="33"/>
  <c r="K20" i="33"/>
  <c r="K21" i="28"/>
  <c r="K22" i="28"/>
  <c r="K20" i="28"/>
  <c r="K22" i="32"/>
  <c r="K24" i="32"/>
  <c r="K23" i="32"/>
  <c r="K21" i="32"/>
  <c r="K30" i="29"/>
  <c r="K35" i="29"/>
  <c r="K28" i="29"/>
  <c r="K19" i="38"/>
  <c r="K26" i="29"/>
  <c r="K19" i="41"/>
  <c r="K19" i="40"/>
  <c r="K20" i="32"/>
  <c r="K32" i="29"/>
  <c r="A17" i="42"/>
  <c r="A21" i="42" s="1"/>
  <c r="A22" i="42" s="1"/>
  <c r="A23" i="42" s="1"/>
  <c r="A24" i="42" s="1"/>
  <c r="A25" i="42" s="1"/>
  <c r="A26" i="42" s="1"/>
  <c r="A27" i="42" s="1"/>
  <c r="A28" i="42" s="1"/>
  <c r="A29" i="42" s="1"/>
  <c r="A30" i="42" s="1"/>
  <c r="A31" i="42" s="1"/>
  <c r="A32" i="42" s="1"/>
  <c r="A20" i="42"/>
  <c r="K27" i="29"/>
  <c r="L19" i="32"/>
  <c r="K21" i="29"/>
  <c r="L25" i="29"/>
  <c r="K20" i="29"/>
  <c r="K22" i="29"/>
  <c r="K23" i="29"/>
  <c r="K25" i="29"/>
  <c r="K24" i="29"/>
  <c r="K34" i="29"/>
  <c r="K39" i="29"/>
  <c r="K36" i="29"/>
  <c r="K38" i="29"/>
  <c r="K19" i="28"/>
  <c r="K29" i="29"/>
  <c r="K19" i="32"/>
  <c r="L32" i="29"/>
  <c r="J44" i="33"/>
  <c r="J30" i="33"/>
  <c r="J37" i="33"/>
  <c r="I21" i="40"/>
  <c r="I28" i="40"/>
  <c r="I42" i="40"/>
  <c r="I49" i="40"/>
  <c r="I35" i="40"/>
  <c r="J23" i="33"/>
  <c r="K39" i="28"/>
  <c r="K41" i="28"/>
  <c r="K43" i="28"/>
  <c r="K37" i="28"/>
  <c r="K40" i="28"/>
  <c r="L38" i="28"/>
  <c r="K38" i="28"/>
  <c r="K42" i="28"/>
  <c r="J20" i="31"/>
  <c r="L20" i="31" s="1"/>
  <c r="K44" i="28"/>
  <c r="K45" i="28"/>
  <c r="L45" i="28"/>
  <c r="K48" i="28"/>
  <c r="K46" i="28"/>
  <c r="K47" i="28"/>
  <c r="J48" i="31"/>
  <c r="J41" i="31"/>
  <c r="L41" i="31" s="1"/>
  <c r="K36" i="28"/>
  <c r="K34" i="28"/>
  <c r="K33" i="28"/>
  <c r="L31" i="28"/>
  <c r="K32" i="28"/>
  <c r="K30" i="28"/>
  <c r="K35" i="28"/>
  <c r="K31" i="28"/>
  <c r="I46" i="32"/>
  <c r="I32" i="32"/>
  <c r="I25" i="32"/>
  <c r="I39" i="32"/>
  <c r="H58" i="32"/>
  <c r="K24" i="28"/>
  <c r="K23" i="28"/>
  <c r="K25" i="28"/>
  <c r="L24" i="28"/>
  <c r="K26" i="28"/>
  <c r="K28" i="28"/>
  <c r="K29" i="28"/>
  <c r="K27" i="28"/>
  <c r="J34" i="31"/>
  <c r="L34" i="31" s="1"/>
  <c r="J27" i="31"/>
  <c r="L27" i="31" s="1"/>
  <c r="J47" i="35"/>
  <c r="H51" i="36"/>
  <c r="H49" i="36" s="1"/>
  <c r="J40" i="35"/>
  <c r="J33" i="35"/>
  <c r="J26" i="35"/>
  <c r="J19" i="35"/>
  <c r="L48" i="31"/>
  <c r="K48" i="31"/>
  <c r="N17" i="29" l="1"/>
  <c r="N16" i="29"/>
  <c r="N18" i="29"/>
  <c r="L38" i="31"/>
  <c r="L24" i="31"/>
  <c r="L31" i="31"/>
  <c r="K17" i="29"/>
  <c r="I51" i="29"/>
  <c r="J49" i="36"/>
  <c r="I49" i="36"/>
  <c r="L43" i="31"/>
  <c r="I31" i="38"/>
  <c r="J31" i="38"/>
  <c r="J38" i="38"/>
  <c r="I38" i="38"/>
  <c r="J45" i="38"/>
  <c r="I45" i="38"/>
  <c r="H29" i="36"/>
  <c r="H22" i="36"/>
  <c r="H36" i="36"/>
  <c r="H43" i="36"/>
  <c r="J24" i="38"/>
  <c r="I24" i="38"/>
  <c r="L36" i="31"/>
  <c r="L29" i="31"/>
  <c r="L22" i="31"/>
  <c r="L22" i="35"/>
  <c r="L19" i="35"/>
  <c r="H46" i="36"/>
  <c r="H39" i="36"/>
  <c r="H25" i="36"/>
  <c r="H32" i="36"/>
  <c r="L23" i="35"/>
  <c r="L33" i="31"/>
  <c r="H27" i="36"/>
  <c r="H20" i="36"/>
  <c r="H34" i="36"/>
  <c r="H48" i="36"/>
  <c r="H41" i="36"/>
  <c r="H42" i="36"/>
  <c r="I42" i="36" s="1"/>
  <c r="H35" i="36"/>
  <c r="I35" i="36" s="1"/>
  <c r="H28" i="36"/>
  <c r="I28" i="36" s="1"/>
  <c r="H37" i="36"/>
  <c r="H44" i="36"/>
  <c r="H30" i="36"/>
  <c r="H23" i="36"/>
  <c r="L40" i="31"/>
  <c r="L26" i="31"/>
  <c r="L47" i="31"/>
  <c r="I20" i="38"/>
  <c r="J20" i="38"/>
  <c r="J41" i="38"/>
  <c r="I41" i="38"/>
  <c r="J27" i="38"/>
  <c r="I27" i="38"/>
  <c r="J48" i="38"/>
  <c r="I48" i="38"/>
  <c r="I34" i="38"/>
  <c r="J34" i="38"/>
  <c r="I39" i="38"/>
  <c r="J39" i="38"/>
  <c r="I46" i="38"/>
  <c r="J46" i="38"/>
  <c r="J25" i="38"/>
  <c r="I25" i="38"/>
  <c r="I32" i="38"/>
  <c r="J32" i="38"/>
  <c r="L20" i="35"/>
  <c r="L23" i="31"/>
  <c r="L44" i="31"/>
  <c r="L37" i="31"/>
  <c r="L30" i="31"/>
  <c r="L25" i="31"/>
  <c r="L32" i="31"/>
  <c r="L39" i="31"/>
  <c r="L46" i="31"/>
  <c r="L51" i="29"/>
  <c r="K51" i="29"/>
  <c r="K20" i="31"/>
  <c r="J21" i="40"/>
  <c r="J49" i="40"/>
  <c r="I32" i="35"/>
  <c r="I39" i="35"/>
  <c r="I46" i="35"/>
  <c r="I25" i="35"/>
  <c r="J42" i="40"/>
  <c r="J35" i="40"/>
  <c r="J28" i="40"/>
  <c r="K33" i="31"/>
  <c r="K28" i="31"/>
  <c r="K31" i="31"/>
  <c r="K32" i="31"/>
  <c r="K30" i="31"/>
  <c r="K29" i="31"/>
  <c r="K27" i="31"/>
  <c r="L28" i="31"/>
  <c r="J25" i="32"/>
  <c r="L51" i="28"/>
  <c r="J32" i="32"/>
  <c r="L37" i="32" s="1"/>
  <c r="K47" i="31"/>
  <c r="K45" i="31"/>
  <c r="K46" i="31"/>
  <c r="K42" i="31"/>
  <c r="K43" i="31"/>
  <c r="L42" i="31"/>
  <c r="K41" i="31"/>
  <c r="K44" i="31"/>
  <c r="I29" i="33"/>
  <c r="I22" i="33"/>
  <c r="I36" i="33"/>
  <c r="I43" i="33"/>
  <c r="H58" i="33"/>
  <c r="J46" i="32"/>
  <c r="L48" i="32" s="1"/>
  <c r="K24" i="31"/>
  <c r="K22" i="31"/>
  <c r="L21" i="31"/>
  <c r="K23" i="31"/>
  <c r="K21" i="31"/>
  <c r="K25" i="31"/>
  <c r="K26" i="31"/>
  <c r="K40" i="31"/>
  <c r="K38" i="31"/>
  <c r="K36" i="31"/>
  <c r="K35" i="31"/>
  <c r="K37" i="31"/>
  <c r="K39" i="31"/>
  <c r="K34" i="31"/>
  <c r="L35" i="31"/>
  <c r="K51" i="28"/>
  <c r="J39" i="32"/>
  <c r="K19" i="35"/>
  <c r="K23" i="35"/>
  <c r="K22" i="35"/>
  <c r="K21" i="35"/>
  <c r="K20" i="35"/>
  <c r="J37" i="38"/>
  <c r="J23" i="38"/>
  <c r="J30" i="38"/>
  <c r="J44" i="38"/>
  <c r="H51" i="37"/>
  <c r="L49" i="32"/>
  <c r="K49" i="32"/>
  <c r="I53" i="29" l="1"/>
  <c r="I17" i="28" s="1"/>
  <c r="J53" i="29"/>
  <c r="J17" i="28" s="1"/>
  <c r="J51" i="28" s="1"/>
  <c r="L28" i="32"/>
  <c r="L29" i="32"/>
  <c r="L47" i="33"/>
  <c r="L39" i="32"/>
  <c r="L43" i="32"/>
  <c r="L36" i="32"/>
  <c r="H40" i="37"/>
  <c r="H47" i="37"/>
  <c r="H26" i="37"/>
  <c r="H33" i="37"/>
  <c r="J29" i="36"/>
  <c r="I29" i="36"/>
  <c r="I43" i="36"/>
  <c r="J43" i="36"/>
  <c r="I22" i="36"/>
  <c r="J22" i="36"/>
  <c r="L41" i="32"/>
  <c r="J36" i="36"/>
  <c r="I36" i="36"/>
  <c r="L34" i="32"/>
  <c r="L27" i="32"/>
  <c r="H22" i="37"/>
  <c r="H29" i="37"/>
  <c r="H43" i="37"/>
  <c r="H36" i="37"/>
  <c r="H31" i="37"/>
  <c r="H24" i="37"/>
  <c r="H38" i="37"/>
  <c r="H45" i="37"/>
  <c r="L32" i="32"/>
  <c r="H39" i="37"/>
  <c r="I39" i="37" s="1"/>
  <c r="H46" i="37"/>
  <c r="I46" i="37" s="1"/>
  <c r="H25" i="37"/>
  <c r="I25" i="37" s="1"/>
  <c r="H32" i="37"/>
  <c r="I32" i="37" s="1"/>
  <c r="H34" i="37"/>
  <c r="H27" i="37"/>
  <c r="H48" i="37"/>
  <c r="H41" i="37"/>
  <c r="H20" i="37"/>
  <c r="L20" i="38"/>
  <c r="L45" i="32"/>
  <c r="L38" i="32"/>
  <c r="L31" i="32"/>
  <c r="K20" i="38"/>
  <c r="L35" i="32"/>
  <c r="I25" i="36"/>
  <c r="J25" i="36"/>
  <c r="I39" i="36"/>
  <c r="J39" i="36"/>
  <c r="I46" i="36"/>
  <c r="J46" i="36"/>
  <c r="I32" i="36"/>
  <c r="J32" i="36"/>
  <c r="I30" i="36"/>
  <c r="J30" i="36"/>
  <c r="I23" i="36"/>
  <c r="J23" i="36"/>
  <c r="I37" i="36"/>
  <c r="J37" i="36"/>
  <c r="I44" i="36"/>
  <c r="J44" i="36"/>
  <c r="L42" i="32"/>
  <c r="L46" i="32"/>
  <c r="L25" i="32"/>
  <c r="L30" i="32"/>
  <c r="L44" i="32"/>
  <c r="J39" i="35"/>
  <c r="I36" i="38"/>
  <c r="I29" i="38"/>
  <c r="I22" i="38"/>
  <c r="I43" i="38"/>
  <c r="J46" i="35"/>
  <c r="J25" i="35"/>
  <c r="J32" i="35"/>
  <c r="K51" i="31"/>
  <c r="J22" i="33"/>
  <c r="L22" i="33" s="1"/>
  <c r="L51" i="31"/>
  <c r="J43" i="33"/>
  <c r="L46" i="33" s="1"/>
  <c r="J29" i="33"/>
  <c r="L34" i="33" s="1"/>
  <c r="J36" i="33"/>
  <c r="L36" i="33" s="1"/>
  <c r="K38" i="32"/>
  <c r="K36" i="32"/>
  <c r="K37" i="32"/>
  <c r="K34" i="32"/>
  <c r="L33" i="32"/>
  <c r="K33" i="32"/>
  <c r="K35" i="32"/>
  <c r="K32" i="32"/>
  <c r="K39" i="32"/>
  <c r="K43" i="32"/>
  <c r="K45" i="32"/>
  <c r="L40" i="32"/>
  <c r="K41" i="32"/>
  <c r="K40" i="32"/>
  <c r="K42" i="32"/>
  <c r="K44" i="32"/>
  <c r="L47" i="32"/>
  <c r="K47" i="32"/>
  <c r="K46" i="32"/>
  <c r="K48" i="32"/>
  <c r="I20" i="40"/>
  <c r="I48" i="40"/>
  <c r="I34" i="40"/>
  <c r="I41" i="40"/>
  <c r="I27" i="40"/>
  <c r="H58" i="40"/>
  <c r="K31" i="32"/>
  <c r="K27" i="32"/>
  <c r="K30" i="32"/>
  <c r="K26" i="32"/>
  <c r="K29" i="32"/>
  <c r="K25" i="32"/>
  <c r="K28" i="32"/>
  <c r="L26" i="32"/>
  <c r="J42" i="36"/>
  <c r="J28" i="36"/>
  <c r="H51" i="41"/>
  <c r="J35" i="36"/>
  <c r="L48" i="33"/>
  <c r="K48" i="33"/>
  <c r="N16" i="28" l="1"/>
  <c r="I51" i="28"/>
  <c r="I53" i="28" s="1"/>
  <c r="I17" i="31" s="1"/>
  <c r="N18" i="31" s="1"/>
  <c r="N17" i="28"/>
  <c r="N18" i="28"/>
  <c r="K17" i="28"/>
  <c r="L33" i="33"/>
  <c r="L26" i="33"/>
  <c r="L40" i="33"/>
  <c r="L38" i="33"/>
  <c r="J33" i="37"/>
  <c r="I33" i="37"/>
  <c r="I26" i="37"/>
  <c r="J26" i="37"/>
  <c r="L24" i="33"/>
  <c r="I47" i="37"/>
  <c r="J47" i="37"/>
  <c r="H45" i="41"/>
  <c r="H24" i="41"/>
  <c r="H31" i="41"/>
  <c r="H38" i="41"/>
  <c r="J40" i="37"/>
  <c r="I40" i="37"/>
  <c r="L45" i="33"/>
  <c r="L31" i="33"/>
  <c r="H20" i="41"/>
  <c r="H41" i="41"/>
  <c r="H34" i="41"/>
  <c r="H48" i="41"/>
  <c r="H27" i="41"/>
  <c r="L35" i="33"/>
  <c r="H29" i="41"/>
  <c r="H36" i="41"/>
  <c r="H22" i="41"/>
  <c r="L29" i="33"/>
  <c r="L43" i="33"/>
  <c r="H37" i="41"/>
  <c r="I37" i="41" s="1"/>
  <c r="H23" i="41"/>
  <c r="I23" i="41" s="1"/>
  <c r="H30" i="41"/>
  <c r="I30" i="41" s="1"/>
  <c r="H39" i="41"/>
  <c r="H25" i="41"/>
  <c r="H32" i="41"/>
  <c r="H46" i="41"/>
  <c r="L28" i="33"/>
  <c r="L42" i="33"/>
  <c r="J43" i="37"/>
  <c r="I43" i="37"/>
  <c r="I29" i="37"/>
  <c r="J29" i="37"/>
  <c r="I36" i="37"/>
  <c r="J36" i="37"/>
  <c r="I22" i="37"/>
  <c r="J22" i="37"/>
  <c r="L27" i="33"/>
  <c r="I20" i="37"/>
  <c r="L20" i="37" s="1"/>
  <c r="J20" i="37"/>
  <c r="I41" i="37"/>
  <c r="J41" i="37"/>
  <c r="I27" i="37"/>
  <c r="J27" i="37"/>
  <c r="I34" i="37"/>
  <c r="J34" i="37"/>
  <c r="I48" i="37"/>
  <c r="J48" i="37"/>
  <c r="L25" i="33"/>
  <c r="L32" i="33"/>
  <c r="L39" i="33"/>
  <c r="L41" i="33"/>
  <c r="J29" i="38"/>
  <c r="J43" i="38"/>
  <c r="J36" i="38"/>
  <c r="J22" i="38"/>
  <c r="I20" i="36"/>
  <c r="I41" i="36"/>
  <c r="I48" i="36"/>
  <c r="I34" i="36"/>
  <c r="I27" i="36"/>
  <c r="J48" i="40"/>
  <c r="L48" i="40" s="1"/>
  <c r="L51" i="32"/>
  <c r="I38" i="35"/>
  <c r="I31" i="35"/>
  <c r="I45" i="35"/>
  <c r="I24" i="35"/>
  <c r="H58" i="35"/>
  <c r="J20" i="40"/>
  <c r="L20" i="40" s="1"/>
  <c r="K33" i="33"/>
  <c r="L30" i="33"/>
  <c r="K32" i="33"/>
  <c r="K34" i="33"/>
  <c r="K29" i="33"/>
  <c r="K31" i="33"/>
  <c r="K35" i="33"/>
  <c r="K30" i="33"/>
  <c r="J41" i="40"/>
  <c r="L41" i="40" s="1"/>
  <c r="K51" i="32"/>
  <c r="K36" i="33"/>
  <c r="K38" i="33"/>
  <c r="K37" i="33"/>
  <c r="K42" i="33"/>
  <c r="K41" i="33"/>
  <c r="L37" i="33"/>
  <c r="K40" i="33"/>
  <c r="K39" i="33"/>
  <c r="K43" i="33"/>
  <c r="K47" i="33"/>
  <c r="K45" i="33"/>
  <c r="K44" i="33"/>
  <c r="K46" i="33"/>
  <c r="L44" i="33"/>
  <c r="K26" i="33"/>
  <c r="K25" i="33"/>
  <c r="K22" i="33"/>
  <c r="K24" i="33"/>
  <c r="L23" i="33"/>
  <c r="K28" i="33"/>
  <c r="K23" i="33"/>
  <c r="K27" i="33"/>
  <c r="J27" i="40"/>
  <c r="L27" i="40" s="1"/>
  <c r="J34" i="40"/>
  <c r="L34" i="40" s="1"/>
  <c r="J46" i="37"/>
  <c r="J39" i="37"/>
  <c r="J32" i="37"/>
  <c r="J25" i="37"/>
  <c r="L49" i="40"/>
  <c r="K49" i="40"/>
  <c r="J53" i="28" l="1"/>
  <c r="J17" i="31" s="1"/>
  <c r="J51" i="31" s="1"/>
  <c r="K17" i="31"/>
  <c r="I51" i="31"/>
  <c r="N17" i="31"/>
  <c r="L24" i="40"/>
  <c r="L45" i="40"/>
  <c r="L31" i="40"/>
  <c r="L38" i="40"/>
  <c r="J45" i="41"/>
  <c r="I45" i="41"/>
  <c r="I38" i="41"/>
  <c r="J38" i="41"/>
  <c r="L22" i="40"/>
  <c r="I31" i="41"/>
  <c r="J31" i="41"/>
  <c r="I24" i="41"/>
  <c r="J24" i="41"/>
  <c r="L36" i="40"/>
  <c r="L29" i="40"/>
  <c r="L43" i="40"/>
  <c r="L40" i="40"/>
  <c r="L47" i="40"/>
  <c r="L26" i="40"/>
  <c r="L22" i="37"/>
  <c r="L33" i="40"/>
  <c r="J48" i="41"/>
  <c r="I48" i="41"/>
  <c r="I20" i="41"/>
  <c r="J20" i="41"/>
  <c r="I41" i="41"/>
  <c r="J41" i="41"/>
  <c r="I27" i="41"/>
  <c r="J27" i="41"/>
  <c r="I34" i="41"/>
  <c r="J34" i="41"/>
  <c r="L32" i="40"/>
  <c r="J46" i="41"/>
  <c r="I46" i="41"/>
  <c r="I25" i="41"/>
  <c r="J25" i="41"/>
  <c r="J39" i="41"/>
  <c r="I39" i="41"/>
  <c r="I32" i="41"/>
  <c r="J32" i="41"/>
  <c r="L21" i="37"/>
  <c r="K21" i="37"/>
  <c r="K20" i="37"/>
  <c r="K22" i="37"/>
  <c r="L23" i="40"/>
  <c r="L44" i="40"/>
  <c r="L30" i="40"/>
  <c r="L37" i="40"/>
  <c r="L46" i="40"/>
  <c r="L39" i="40"/>
  <c r="L25" i="40"/>
  <c r="J34" i="36"/>
  <c r="J48" i="36"/>
  <c r="J27" i="36"/>
  <c r="J41" i="36"/>
  <c r="I45" i="37"/>
  <c r="I38" i="37"/>
  <c r="I24" i="37"/>
  <c r="I31" i="37"/>
  <c r="J20" i="36"/>
  <c r="K27" i="40"/>
  <c r="K28" i="40"/>
  <c r="K33" i="40"/>
  <c r="K31" i="40"/>
  <c r="K32" i="40"/>
  <c r="L28" i="40"/>
  <c r="K30" i="40"/>
  <c r="K29" i="40"/>
  <c r="K21" i="40"/>
  <c r="K20" i="40"/>
  <c r="L21" i="40"/>
  <c r="K26" i="40"/>
  <c r="K24" i="40"/>
  <c r="K25" i="40"/>
  <c r="K22" i="40"/>
  <c r="K23" i="40"/>
  <c r="J45" i="35"/>
  <c r="L48" i="35" s="1"/>
  <c r="K34" i="40"/>
  <c r="K35" i="40"/>
  <c r="K38" i="40"/>
  <c r="K39" i="40"/>
  <c r="K40" i="40"/>
  <c r="K36" i="40"/>
  <c r="L35" i="40"/>
  <c r="K37" i="40"/>
  <c r="I35" i="38"/>
  <c r="I42" i="38"/>
  <c r="I21" i="38"/>
  <c r="I28" i="38"/>
  <c r="H58" i="38"/>
  <c r="L51" i="33"/>
  <c r="K46" i="40"/>
  <c r="L42" i="40"/>
  <c r="K44" i="40"/>
  <c r="K43" i="40"/>
  <c r="K42" i="40"/>
  <c r="K41" i="40"/>
  <c r="K45" i="40"/>
  <c r="K47" i="40"/>
  <c r="J31" i="35"/>
  <c r="L36" i="35" s="1"/>
  <c r="K48" i="40"/>
  <c r="K51" i="33"/>
  <c r="J24" i="35"/>
  <c r="L24" i="35" s="1"/>
  <c r="J38" i="35"/>
  <c r="L38" i="35" s="1"/>
  <c r="J30" i="41"/>
  <c r="J37" i="41"/>
  <c r="J23" i="41"/>
  <c r="L49" i="35"/>
  <c r="K48" i="41"/>
  <c r="L48" i="41"/>
  <c r="K49" i="35"/>
  <c r="I53" i="31" l="1"/>
  <c r="I17" i="32" s="1"/>
  <c r="J53" i="31"/>
  <c r="J17" i="32" s="1"/>
  <c r="J51" i="32" s="1"/>
  <c r="L39" i="38"/>
  <c r="L46" i="41"/>
  <c r="L42" i="35"/>
  <c r="L35" i="35"/>
  <c r="L28" i="35"/>
  <c r="L26" i="35"/>
  <c r="L44" i="41"/>
  <c r="L47" i="35"/>
  <c r="L40" i="35"/>
  <c r="L20" i="41"/>
  <c r="L33" i="35"/>
  <c r="L29" i="35"/>
  <c r="L31" i="35"/>
  <c r="L43" i="41"/>
  <c r="L44" i="35"/>
  <c r="L37" i="35"/>
  <c r="L30" i="35"/>
  <c r="K43" i="41"/>
  <c r="K20" i="41"/>
  <c r="L47" i="41"/>
  <c r="L45" i="41"/>
  <c r="K44" i="41"/>
  <c r="K45" i="41"/>
  <c r="K46" i="41"/>
  <c r="K47" i="41"/>
  <c r="L27" i="35"/>
  <c r="L41" i="35"/>
  <c r="L34" i="35"/>
  <c r="L45" i="35"/>
  <c r="L43" i="35"/>
  <c r="J31" i="37"/>
  <c r="I36" i="41"/>
  <c r="I29" i="41"/>
  <c r="I22" i="41"/>
  <c r="J38" i="37"/>
  <c r="J45" i="37"/>
  <c r="J24" i="37"/>
  <c r="K40" i="35"/>
  <c r="K44" i="35"/>
  <c r="K42" i="35"/>
  <c r="K41" i="35"/>
  <c r="K43" i="35"/>
  <c r="L39" i="35"/>
  <c r="K38" i="35"/>
  <c r="K39" i="35"/>
  <c r="K34" i="35"/>
  <c r="K36" i="35"/>
  <c r="K32" i="35"/>
  <c r="K35" i="35"/>
  <c r="K33" i="35"/>
  <c r="K31" i="35"/>
  <c r="L32" i="35"/>
  <c r="K37" i="35"/>
  <c r="J21" i="38"/>
  <c r="L21" i="38" s="1"/>
  <c r="J42" i="38"/>
  <c r="L44" i="38" s="1"/>
  <c r="K48" i="35"/>
  <c r="K46" i="35"/>
  <c r="K45" i="35"/>
  <c r="L46" i="35"/>
  <c r="K47" i="35"/>
  <c r="K51" i="40"/>
  <c r="L51" i="40"/>
  <c r="J28" i="38"/>
  <c r="L28" i="38" s="1"/>
  <c r="I47" i="36"/>
  <c r="I19" i="36"/>
  <c r="I33" i="36"/>
  <c r="I40" i="36"/>
  <c r="I26" i="36"/>
  <c r="H58" i="36"/>
  <c r="K30" i="35"/>
  <c r="K29" i="35"/>
  <c r="K24" i="35"/>
  <c r="L25" i="35"/>
  <c r="K28" i="35"/>
  <c r="K26" i="35"/>
  <c r="K25" i="35"/>
  <c r="K27" i="35"/>
  <c r="J35" i="38"/>
  <c r="L35" i="38" s="1"/>
  <c r="L48" i="38"/>
  <c r="K48" i="38"/>
  <c r="I51" i="32" l="1"/>
  <c r="K17" i="32"/>
  <c r="L32" i="38"/>
  <c r="L46" i="38"/>
  <c r="L30" i="36"/>
  <c r="L25" i="38"/>
  <c r="L30" i="38"/>
  <c r="L23" i="38"/>
  <c r="L37" i="38"/>
  <c r="L41" i="38"/>
  <c r="L42" i="38"/>
  <c r="L34" i="38"/>
  <c r="L27" i="38"/>
  <c r="L33" i="38"/>
  <c r="L26" i="38"/>
  <c r="L31" i="38"/>
  <c r="L45" i="38"/>
  <c r="L38" i="38"/>
  <c r="L24" i="38"/>
  <c r="L47" i="38"/>
  <c r="L40" i="38"/>
  <c r="J29" i="41"/>
  <c r="J36" i="41"/>
  <c r="K42" i="41" s="1"/>
  <c r="J22" i="41"/>
  <c r="L36" i="38"/>
  <c r="K39" i="38"/>
  <c r="K40" i="38"/>
  <c r="K36" i="38"/>
  <c r="K35" i="38"/>
  <c r="K38" i="38"/>
  <c r="K37" i="38"/>
  <c r="K41" i="38"/>
  <c r="J40" i="36"/>
  <c r="L40" i="36" s="1"/>
  <c r="I37" i="37"/>
  <c r="I44" i="37"/>
  <c r="I30" i="37"/>
  <c r="I23" i="37"/>
  <c r="H58" i="37"/>
  <c r="K28" i="38"/>
  <c r="K31" i="38"/>
  <c r="K29" i="38"/>
  <c r="L29" i="38"/>
  <c r="K32" i="38"/>
  <c r="K33" i="38"/>
  <c r="K34" i="38"/>
  <c r="K30" i="38"/>
  <c r="K21" i="38"/>
  <c r="K22" i="38"/>
  <c r="L22" i="38"/>
  <c r="K26" i="38"/>
  <c r="K24" i="38"/>
  <c r="K23" i="38"/>
  <c r="K25" i="38"/>
  <c r="K27" i="38"/>
  <c r="J33" i="36"/>
  <c r="L33" i="36" s="1"/>
  <c r="K45" i="38"/>
  <c r="K44" i="38"/>
  <c r="K46" i="38"/>
  <c r="K47" i="38"/>
  <c r="K43" i="38"/>
  <c r="K42" i="38"/>
  <c r="L43" i="38"/>
  <c r="J47" i="36"/>
  <c r="L47" i="36" s="1"/>
  <c r="K51" i="35"/>
  <c r="L51" i="35"/>
  <c r="J26" i="36"/>
  <c r="L31" i="36" s="1"/>
  <c r="J19" i="36"/>
  <c r="K21" i="36" s="1"/>
  <c r="K49" i="36"/>
  <c r="L49" i="36"/>
  <c r="I53" i="32" l="1"/>
  <c r="I17" i="33" s="1"/>
  <c r="J53" i="32"/>
  <c r="J17" i="33" s="1"/>
  <c r="J51" i="33" s="1"/>
  <c r="L23" i="36"/>
  <c r="L37" i="36"/>
  <c r="L27" i="37"/>
  <c r="L44" i="36"/>
  <c r="L34" i="37"/>
  <c r="L21" i="36"/>
  <c r="L35" i="36"/>
  <c r="L28" i="36"/>
  <c r="L42" i="36"/>
  <c r="L26" i="36"/>
  <c r="L42" i="41"/>
  <c r="L25" i="36"/>
  <c r="L32" i="36"/>
  <c r="L46" i="36"/>
  <c r="L39" i="36"/>
  <c r="L45" i="36"/>
  <c r="L38" i="36"/>
  <c r="L43" i="36"/>
  <c r="L22" i="36"/>
  <c r="L36" i="36"/>
  <c r="L29" i="36"/>
  <c r="L24" i="36"/>
  <c r="L19" i="36"/>
  <c r="K35" i="36"/>
  <c r="K39" i="36"/>
  <c r="L34" i="36"/>
  <c r="K34" i="36"/>
  <c r="K36" i="36"/>
  <c r="K33" i="36"/>
  <c r="K38" i="36"/>
  <c r="K37" i="36"/>
  <c r="J23" i="37"/>
  <c r="L23" i="37" s="1"/>
  <c r="K22" i="36"/>
  <c r="K20" i="36"/>
  <c r="L20" i="36"/>
  <c r="K19" i="36"/>
  <c r="K25" i="36"/>
  <c r="K23" i="36"/>
  <c r="K24" i="36"/>
  <c r="L51" i="38"/>
  <c r="K51" i="38"/>
  <c r="J44" i="37"/>
  <c r="L47" i="37" s="1"/>
  <c r="K42" i="36"/>
  <c r="K41" i="36"/>
  <c r="K46" i="36"/>
  <c r="K45" i="36"/>
  <c r="K40" i="36"/>
  <c r="K43" i="36"/>
  <c r="L41" i="36"/>
  <c r="K44" i="36"/>
  <c r="K26" i="36"/>
  <c r="L27" i="36"/>
  <c r="K27" i="36"/>
  <c r="K28" i="36"/>
  <c r="K30" i="36"/>
  <c r="K32" i="36"/>
  <c r="K31" i="36"/>
  <c r="K29" i="36"/>
  <c r="J37" i="37"/>
  <c r="L42" i="37" s="1"/>
  <c r="J30" i="37"/>
  <c r="L30" i="37" s="1"/>
  <c r="K48" i="36"/>
  <c r="K47" i="36"/>
  <c r="L48" i="36"/>
  <c r="I35" i="41"/>
  <c r="I28" i="41"/>
  <c r="I21" i="41"/>
  <c r="H58" i="41"/>
  <c r="L48" i="37"/>
  <c r="K48" i="37"/>
  <c r="K17" i="33" l="1"/>
  <c r="I51" i="33"/>
  <c r="J53" i="33" s="1"/>
  <c r="J17" i="40" s="1"/>
  <c r="J51" i="40" s="1"/>
  <c r="L41" i="37"/>
  <c r="L25" i="37"/>
  <c r="L39" i="37"/>
  <c r="L46" i="37"/>
  <c r="L32" i="37"/>
  <c r="L37" i="37"/>
  <c r="L36" i="37"/>
  <c r="L43" i="37"/>
  <c r="L27" i="41"/>
  <c r="L29" i="37"/>
  <c r="L26" i="37"/>
  <c r="L40" i="37"/>
  <c r="L33" i="37"/>
  <c r="L28" i="37"/>
  <c r="L44" i="37"/>
  <c r="L35" i="37"/>
  <c r="J28" i="41"/>
  <c r="L28" i="41" s="1"/>
  <c r="J35" i="41"/>
  <c r="L35" i="41" s="1"/>
  <c r="K46" i="37"/>
  <c r="K45" i="37"/>
  <c r="K44" i="37"/>
  <c r="L45" i="37"/>
  <c r="K47" i="37"/>
  <c r="L51" i="36"/>
  <c r="K51" i="36"/>
  <c r="K30" i="37"/>
  <c r="K35" i="37"/>
  <c r="L31" i="37"/>
  <c r="K33" i="37"/>
  <c r="K36" i="37"/>
  <c r="K31" i="37"/>
  <c r="K32" i="37"/>
  <c r="K34" i="37"/>
  <c r="L24" i="37"/>
  <c r="J21" i="41"/>
  <c r="L21" i="41" s="1"/>
  <c r="K38" i="37"/>
  <c r="K37" i="37"/>
  <c r="K39" i="37"/>
  <c r="K40" i="37"/>
  <c r="K42" i="37"/>
  <c r="L38" i="37"/>
  <c r="K43" i="37"/>
  <c r="K41" i="37"/>
  <c r="K23" i="37"/>
  <c r="K24" i="37"/>
  <c r="K27" i="37"/>
  <c r="K25" i="37"/>
  <c r="K28" i="37"/>
  <c r="K26" i="37"/>
  <c r="K29" i="37"/>
  <c r="I53" i="33" l="1"/>
  <c r="I17" i="40" s="1"/>
  <c r="L25" i="41"/>
  <c r="L39" i="41"/>
  <c r="L32" i="41"/>
  <c r="L23" i="41"/>
  <c r="L37" i="41"/>
  <c r="L30" i="41"/>
  <c r="L41" i="41"/>
  <c r="L34" i="41"/>
  <c r="L38" i="41"/>
  <c r="L31" i="41"/>
  <c r="L24" i="41"/>
  <c r="L26" i="41"/>
  <c r="L33" i="41"/>
  <c r="L40" i="41"/>
  <c r="L22" i="41"/>
  <c r="K21" i="41"/>
  <c r="K22" i="41"/>
  <c r="K27" i="41"/>
  <c r="K26" i="41"/>
  <c r="K25" i="41"/>
  <c r="K24" i="41"/>
  <c r="K23" i="41"/>
  <c r="L29" i="41"/>
  <c r="K28" i="41"/>
  <c r="K31" i="41"/>
  <c r="K30" i="41"/>
  <c r="K34" i="41"/>
  <c r="K32" i="41"/>
  <c r="K33" i="41"/>
  <c r="K29" i="41"/>
  <c r="L51" i="37"/>
  <c r="K51" i="37"/>
  <c r="L36" i="41"/>
  <c r="K36" i="41"/>
  <c r="K41" i="41"/>
  <c r="K40" i="41"/>
  <c r="K37" i="41"/>
  <c r="K35" i="41"/>
  <c r="K39" i="41"/>
  <c r="K38" i="41"/>
  <c r="K17" i="40" l="1"/>
  <c r="I51" i="40"/>
  <c r="L51" i="41"/>
  <c r="K51" i="41"/>
  <c r="I53" i="40" l="1"/>
  <c r="I17" i="35" s="1"/>
  <c r="J53" i="40"/>
  <c r="J17" i="35" s="1"/>
  <c r="J51" i="35" s="1"/>
  <c r="I51" i="35" l="1"/>
  <c r="I53" i="35" s="1"/>
  <c r="I17" i="38" s="1"/>
  <c r="K17" i="35"/>
  <c r="I51" i="38" l="1"/>
  <c r="K17" i="38"/>
  <c r="J53" i="35"/>
  <c r="J17" i="38" s="1"/>
  <c r="J51" i="38" s="1"/>
  <c r="I53" i="38" l="1"/>
  <c r="I17" i="36" s="1"/>
  <c r="K17" i="36" s="1"/>
  <c r="J53" i="38"/>
  <c r="J17" i="36" s="1"/>
  <c r="J51" i="36" s="1"/>
  <c r="I51" i="36" l="1"/>
  <c r="J53" i="36" s="1"/>
  <c r="J17" i="37" s="1"/>
  <c r="J51" i="37" s="1"/>
  <c r="I53" i="36" l="1"/>
  <c r="I17" i="37" s="1"/>
  <c r="K17" i="37" s="1"/>
  <c r="I51" i="37" l="1"/>
  <c r="J53" i="37" s="1"/>
  <c r="J17" i="41" s="1"/>
  <c r="J51" i="41" s="1"/>
  <c r="I53" i="37" l="1"/>
  <c r="I17" i="41" s="1"/>
  <c r="I51" i="41" s="1"/>
  <c r="I53" i="41" s="1"/>
  <c r="K17" i="41" l="1"/>
  <c r="J5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ZUV</author>
  </authors>
  <commentList>
    <comment ref="C5" authorId="0" shapeId="0" xr:uid="{00000000-0006-0000-0000-000001000000}">
      <text>
        <r>
          <rPr>
            <b/>
            <sz val="8"/>
            <color indexed="81"/>
            <rFont val="Tahoma"/>
            <family val="2"/>
          </rPr>
          <t xml:space="preserve">Zu Beginn dieses Monats werden Ihre Plus- bzw. Minusstunden übernommen.
</t>
        </r>
      </text>
    </comment>
    <comment ref="D12" authorId="1" shapeId="0" xr:uid="{00000000-0006-0000-0000-000002000000}">
      <text>
        <r>
          <rPr>
            <b/>
            <sz val="8"/>
            <color indexed="81"/>
            <rFont val="Tahoma"/>
            <family val="2"/>
          </rPr>
          <t>ZUV:</t>
        </r>
        <r>
          <rPr>
            <sz val="8"/>
            <color indexed="81"/>
            <rFont val="Tahoma"/>
            <family val="2"/>
          </rPr>
          <t xml:space="preserve">
beachte plus 1 minute bei den 39,5 stunden az-verhältnissen, damit die automatische berechnung der maximalen gleitzeit (trotz rundung bei der berechnung) funktioniert</t>
        </r>
      </text>
    </comment>
    <comment ref="D19" authorId="1" shapeId="0" xr:uid="{00000000-0006-0000-0000-000003000000}">
      <text>
        <r>
          <rPr>
            <sz val="8"/>
            <color indexed="81"/>
            <rFont val="Tahoma"/>
            <family val="2"/>
          </rPr>
          <t xml:space="preserve">
Eingabeformat ist z.b.: 8:00</t>
        </r>
      </text>
    </comment>
    <comment ref="D20" authorId="1" shapeId="0" xr:uid="{00000000-0006-0000-0000-000004000000}">
      <text>
        <r>
          <rPr>
            <sz val="8"/>
            <color indexed="81"/>
            <rFont val="Tahoma"/>
            <family val="2"/>
          </rPr>
          <t xml:space="preserve">
Eingabeformat ist z.b.: 8:00</t>
        </r>
      </text>
    </comment>
    <comment ref="D21" authorId="1" shapeId="0" xr:uid="{00000000-0006-0000-0000-000005000000}">
      <text>
        <r>
          <rPr>
            <sz val="8"/>
            <color indexed="81"/>
            <rFont val="Tahoma"/>
            <family val="2"/>
          </rPr>
          <t xml:space="preserve">
Eingabeformat ist z.b.: 8:00</t>
        </r>
      </text>
    </comment>
    <comment ref="D22" authorId="1" shapeId="0" xr:uid="{00000000-0006-0000-0000-000006000000}">
      <text>
        <r>
          <rPr>
            <sz val="8"/>
            <color indexed="81"/>
            <rFont val="Tahoma"/>
            <family val="2"/>
          </rPr>
          <t xml:space="preserve">
Eingabeformat ist z.b.: 8:00</t>
        </r>
      </text>
    </comment>
    <comment ref="D23" authorId="1" shapeId="0" xr:uid="{00000000-0006-0000-0000-000007000000}">
      <text>
        <r>
          <rPr>
            <sz val="8"/>
            <color indexed="81"/>
            <rFont val="Tahoma"/>
            <family val="2"/>
          </rPr>
          <t xml:space="preserve">
Eingabeformat ist z.b.: 8:00</t>
        </r>
      </text>
    </comment>
    <comment ref="D26" authorId="0" shapeId="0" xr:uid="{00000000-0006-0000-0000-000008000000}">
      <text>
        <r>
          <rPr>
            <b/>
            <sz val="8"/>
            <color indexed="81"/>
            <rFont val="Tahoma"/>
            <family val="2"/>
          </rPr>
          <t xml:space="preserve">
Bei Änderungen der persönlichen Verhältnisse (z.B. Beschäftigungsumfang, Name durch Heirat etc.) während des Jahres kann man eine separate Datei (Arbeitszeitmappe) für den verbleibenden Rest des Jahres anlegen und dies hier kenntlich machen.
</t>
        </r>
      </text>
    </comment>
    <comment ref="D32" authorId="1" shapeId="0" xr:uid="{00000000-0006-0000-0000-000009000000}">
      <text>
        <r>
          <rPr>
            <b/>
            <sz val="8"/>
            <color indexed="81"/>
            <rFont val="Tahoma"/>
            <family val="2"/>
          </rPr>
          <t>HAW:</t>
        </r>
        <r>
          <rPr>
            <sz val="8"/>
            <color indexed="81"/>
            <rFont val="Tahoma"/>
            <family val="2"/>
          </rPr>
          <t xml:space="preserve">
In diesem Feld ist das Ende des Abrechnungszeitraumes nach § 2 Abs. 3 Gleitzeitordnung  der Heidelberger Akademie der Wissenschaften eingetragen.
Gemäß der Gleitzeitordnung sind Mehrarbeitsstunden innerhalb des Abrechnungszeitraums abzubauen.
Mehrarbeitsstunden, die nach dem Stichtag 01.04. die wöchentliche Regelarbeitszeit übersteigen, verfallen !
Bitte achten Sie daher darauf, dass Ihr Gleitzeitguthaben zum Stichtag nicht höher als Ihre wöchentliche Regelarbeitszeit ist.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9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A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B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C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100-000001000000}">
      <text>
        <r>
          <rPr>
            <b/>
            <sz val="8"/>
            <color indexed="81"/>
            <rFont val="Tahoma"/>
            <family val="2"/>
          </rPr>
          <t>Regelarbeitszeit Montag (s. Mantelbogen). Änderungen werden für die Folgemonate übernommen.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200-000001000000}">
      <text>
        <r>
          <rPr>
            <b/>
            <sz val="8"/>
            <color indexed="81"/>
            <rFont val="Tahoma"/>
            <family val="2"/>
          </rPr>
          <t>Regelarbeitszeit Montag (s. Mantelbogen). Änderungen werden für die Folgemonate übernommen.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3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400-000001000000}">
      <text>
        <r>
          <rPr>
            <b/>
            <sz val="8"/>
            <color indexed="81"/>
            <rFont val="Tahoma"/>
            <family val="2"/>
          </rPr>
          <t>Regelarbeitszeit Montag (s. Mantelbogen). Änderungen werden für die Folgemonate übernommen.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500-000001000000}">
      <text>
        <r>
          <rPr>
            <b/>
            <sz val="8"/>
            <color indexed="81"/>
            <rFont val="Tahoma"/>
            <family val="2"/>
          </rPr>
          <t>Regelarbeitszeit Montag (s. Mantelbogen). Änderungen werden für die Folgemonate übernommen.</t>
        </r>
      </text>
    </comment>
    <comment ref="H52" authorId="0" shapeId="0" xr:uid="{00000000-0006-0000-0500-000002000000}">
      <text>
        <r>
          <rPr>
            <b/>
            <sz val="8"/>
            <color indexed="81"/>
            <rFont val="Tahoma"/>
            <family val="2"/>
          </rPr>
          <t>Regelarbeitszeit Dienstag (s. Mantelbogen)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test</author>
    <author>user</author>
  </authors>
  <commentList>
    <comment ref="H51" authorId="0" shapeId="0" xr:uid="{00000000-0006-0000-06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 ref="H52" authorId="1" shapeId="0" xr:uid="{00000000-0006-0000-0600-000002000000}">
      <text>
        <r>
          <rPr>
            <b/>
            <sz val="8"/>
            <color indexed="81"/>
            <rFont val="Tahoma"/>
            <family val="2"/>
          </rPr>
          <t>Regelarbeitszeit
Dienstags</t>
        </r>
      </text>
    </comment>
    <comment ref="H53" authorId="1" shapeId="0" xr:uid="{00000000-0006-0000-0600-000003000000}">
      <text>
        <r>
          <rPr>
            <b/>
            <sz val="8"/>
            <color indexed="81"/>
            <rFont val="Tahoma"/>
            <family val="2"/>
          </rPr>
          <t>Regelarbeitszeit
Mittwochs</t>
        </r>
      </text>
    </comment>
    <comment ref="H54" authorId="1" shapeId="0" xr:uid="{00000000-0006-0000-0600-000004000000}">
      <text>
        <r>
          <rPr>
            <b/>
            <sz val="8"/>
            <color indexed="81"/>
            <rFont val="Tahoma"/>
            <family val="2"/>
          </rPr>
          <t>Regelarbeitszeit
Donnertags</t>
        </r>
      </text>
    </comment>
    <comment ref="H55" authorId="1" shapeId="0" xr:uid="{00000000-0006-0000-0600-000005000000}">
      <text>
        <r>
          <rPr>
            <b/>
            <sz val="8"/>
            <color indexed="81"/>
            <rFont val="Tahoma"/>
            <family val="2"/>
          </rPr>
          <t>Regelarbeitszeit
Freitags</t>
        </r>
      </text>
    </comment>
    <comment ref="H58" authorId="1" shapeId="0" xr:uid="{00000000-0006-0000-0600-000006000000}">
      <text>
        <r>
          <rPr>
            <b/>
            <sz val="8"/>
            <color indexed="81"/>
            <rFont val="Tahoma"/>
            <family val="2"/>
          </rPr>
          <t>Aus den täglichen
Regelarbeitszeiten
errechnete
Wochenarbeitszeit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7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H51" authorId="0" shapeId="0" xr:uid="{00000000-0006-0000-0800-000001000000}">
      <text>
        <r>
          <rPr>
            <b/>
            <sz val="8"/>
            <color indexed="81"/>
            <rFont val="Tahoma"/>
            <family val="2"/>
          </rPr>
          <t>Regelarbeitszeit Montag (s. Mantelbogen). Änderungen werden für die Folgemonate übernommen.</t>
        </r>
        <r>
          <rPr>
            <sz val="8"/>
            <color indexed="81"/>
            <rFont val="Tahoma"/>
            <family val="2"/>
          </rPr>
          <t xml:space="preserve">
</t>
        </r>
      </text>
    </comment>
  </commentList>
</comments>
</file>

<file path=xl/sharedStrings.xml><?xml version="1.0" encoding="utf-8"?>
<sst xmlns="http://schemas.openxmlformats.org/spreadsheetml/2006/main" count="406" uniqueCount="133">
  <si>
    <t>Übertrag vom Vormonat</t>
  </si>
  <si>
    <t>Plusstunden</t>
  </si>
  <si>
    <t>Minusstunden</t>
  </si>
  <si>
    <t>Die Richtigkeit der Eintragungen bestätigt:</t>
  </si>
  <si>
    <t>Gesehen:</t>
  </si>
  <si>
    <t>Arbeitszeitblatt</t>
  </si>
  <si>
    <t>Name:</t>
  </si>
  <si>
    <t>Arbeitsstelle:</t>
  </si>
  <si>
    <t>Monat/Jahr:</t>
  </si>
  <si>
    <t>Eingangsstempel</t>
  </si>
  <si>
    <t>Leiter/in der Arbeitsstelle</t>
  </si>
  <si>
    <t>- Verwaltung -</t>
  </si>
  <si>
    <t>Gesamt:</t>
  </si>
  <si>
    <t>Saldo u. Übertrag:</t>
  </si>
  <si>
    <t>Wochentag</t>
  </si>
  <si>
    <t xml:space="preserve">Unterschrift der/des Beschäftigten </t>
  </si>
  <si>
    <t>Pausen</t>
  </si>
  <si>
    <t>September</t>
  </si>
  <si>
    <t>Dezember</t>
  </si>
  <si>
    <t>Januar</t>
  </si>
  <si>
    <t>Oktober</t>
  </si>
  <si>
    <t>November</t>
  </si>
  <si>
    <t>August</t>
  </si>
  <si>
    <t>Juni</t>
  </si>
  <si>
    <t>Mai</t>
  </si>
  <si>
    <t>April</t>
  </si>
  <si>
    <t>März</t>
  </si>
  <si>
    <t>Februar</t>
  </si>
  <si>
    <t>Arbeitszeit-beginn</t>
  </si>
  <si>
    <t>Arbeitszeit-ende</t>
  </si>
  <si>
    <t>Juli</t>
  </si>
  <si>
    <t>ALLERHEILIGEN</t>
  </si>
  <si>
    <t>Tag der Deutschen Einheit</t>
  </si>
  <si>
    <t>Tag der Arbeit</t>
  </si>
  <si>
    <t>Heiligabend</t>
  </si>
  <si>
    <t>Weihnachten</t>
  </si>
  <si>
    <t>DREIKÖNIG</t>
  </si>
  <si>
    <t>NEUJAHR</t>
  </si>
  <si>
    <t>Zeile</t>
  </si>
  <si>
    <t>maximale Arbeitszeit bei Vollbeschäftigung</t>
  </si>
  <si>
    <t>maximale Arbeitszeit bei 3/4 Beschäftigung</t>
  </si>
  <si>
    <t>maximale Arbeitszeit bei 1/2 Beschäftigung</t>
  </si>
  <si>
    <t>maximale Gleitzeit bei Vollbeschäftigung</t>
  </si>
  <si>
    <t>maximale Gleitzeit bei 3/4 Beschäftigung</t>
  </si>
  <si>
    <t>maximale Gleitzeit bei 1/2 Beschäftigung</t>
  </si>
  <si>
    <t>xxxxxx</t>
  </si>
  <si>
    <t>Sonstiges</t>
  </si>
  <si>
    <t xml:space="preserve"> Montag</t>
  </si>
  <si>
    <t xml:space="preserve"> Dienstag</t>
  </si>
  <si>
    <t xml:space="preserve"> Mittwoch</t>
  </si>
  <si>
    <t xml:space="preserve"> Donnerstag</t>
  </si>
  <si>
    <t xml:space="preserve"> Freitag</t>
  </si>
  <si>
    <t xml:space="preserve"> Kontrollsumme:</t>
  </si>
  <si>
    <t>Zeitkategorie:</t>
  </si>
  <si>
    <t xml:space="preserve"> Name:</t>
  </si>
  <si>
    <t xml:space="preserve"> Vorname:</t>
  </si>
  <si>
    <t xml:space="preserve"> Arbeitsstelle:</t>
  </si>
  <si>
    <t>Wöchentliche Regelarbeitszeit bei Vollzeitbeschäftigung:</t>
  </si>
  <si>
    <r>
      <t>Beschäftigungsumfang in Prozent (Vollbeschäftigt</t>
    </r>
    <r>
      <rPr>
        <b/>
        <sz val="11"/>
        <rFont val="Calibri"/>
        <family val="2"/>
      </rPr>
      <t> </t>
    </r>
    <r>
      <rPr>
        <b/>
        <sz val="11"/>
        <rFont val="Times New Roman"/>
        <family val="1"/>
      </rPr>
      <t>=</t>
    </r>
    <r>
      <rPr>
        <b/>
        <sz val="11"/>
        <rFont val="Calibri"/>
        <family val="2"/>
      </rPr>
      <t> </t>
    </r>
    <r>
      <rPr>
        <b/>
        <sz val="11"/>
        <rFont val="Times New Roman"/>
        <family val="1"/>
      </rPr>
      <t>100 %)</t>
    </r>
  </si>
  <si>
    <r>
      <t xml:space="preserve">Bitte füllen Sie nur die nachstehenden </t>
    </r>
    <r>
      <rPr>
        <b/>
        <i/>
        <u val="double"/>
        <sz val="10"/>
        <rFont val="Arial"/>
        <family val="2"/>
      </rPr>
      <t>FARBIG</t>
    </r>
    <r>
      <rPr>
        <b/>
        <sz val="10"/>
        <rFont val="Arial"/>
        <family val="2"/>
      </rPr>
      <t xml:space="preserve"> hinterlegten Felder aus:</t>
    </r>
  </si>
  <si>
    <t>Woche</t>
  </si>
  <si>
    <r>
      <t xml:space="preserve">IST-Arbeitszeit </t>
    </r>
    <r>
      <rPr>
        <sz val="7"/>
        <rFont val="Arial"/>
        <family val="2"/>
      </rPr>
      <t xml:space="preserve">(ohne Pausen) </t>
    </r>
  </si>
  <si>
    <t>SOLL-Arbeitszeit</t>
  </si>
  <si>
    <t>Ihre individuelle wöchentliche Regelarbeitszeit:</t>
  </si>
  <si>
    <t>Sonstige Zeiten laut beigefügter Aufstellung (s. Anlage):</t>
  </si>
  <si>
    <t>Kappung Plussstunden auf die</t>
  </si>
  <si>
    <t>individuelle Wochenarbeitszeit</t>
  </si>
  <si>
    <t xml:space="preserve">                         Heidelberger Akademie der Wissenschaften  - Verwaltung -</t>
  </si>
  <si>
    <t xml:space="preserve">             Arbeitszeitblatt - persönliche Angaben</t>
  </si>
  <si>
    <t xml:space="preserve">      Arbeitszeitblatt</t>
  </si>
  <si>
    <t xml:space="preserve"> Heidelberger Akademie der Wissenschaften</t>
  </si>
  <si>
    <t xml:space="preserve">   Arbeitszeitblatt</t>
  </si>
  <si>
    <t xml:space="preserve">   Heidelberger Akademie der Wissenschaften</t>
  </si>
  <si>
    <t xml:space="preserve">Falls weitere Arbeitszeiten (z.B. im Rahmen von Dienstreisen) berücksichtigt werden müssen, </t>
  </si>
  <si>
    <t>die nicht in das vorgegebene Schema passen, fügen Sie bitte ein Beiblatt mit einer separaten Aufstellung</t>
  </si>
  <si>
    <t>jeweiligen Monatsblatt ein.</t>
  </si>
  <si>
    <t xml:space="preserve"> Gültig ab:</t>
  </si>
  <si>
    <t>Gleitzeitkonto</t>
  </si>
  <si>
    <t>Gleitzeitkonto zum Beginn des Monats:</t>
  </si>
  <si>
    <t>Verteilung der  wöchentlichen Regelarbeitszeit auf die Wochentage (dient ausschließlich Ihrer eigenen Übersicht mit Hilfe der täglichen Plus- bzw. Minusstunden):</t>
  </si>
  <si>
    <t>ATHENE</t>
  </si>
  <si>
    <t>Pallas</t>
  </si>
  <si>
    <t xml:space="preserve">Bei der Angabe der Pausen ist die jeweilige gesetzliche Mindestdauer zu beachten. Bei fehlerhafter
</t>
  </si>
  <si>
    <t>Eingabe erfolgt ein optischer Hinweis (rot). Die korrekte Pause kann dann manuell eingetragen werden.</t>
  </si>
  <si>
    <t>Urlaubstage (lfd. Monat)</t>
  </si>
  <si>
    <t>Urlaub (verbleibend)</t>
  </si>
  <si>
    <t>Plus</t>
  </si>
  <si>
    <t>Minus</t>
  </si>
  <si>
    <t>Ende März jeden Jahres verfällt das Gleitzeitguthaben, das über Ihre individuelle Wochenarbeitszeit (siehe Feld D14) hinausgeht und zum Oktober der Urlaub des Vorjahres.</t>
  </si>
  <si>
    <t>Resturlaub (Übertrag)</t>
  </si>
  <si>
    <t>Jahresurlaub (in Arbeitstagen)</t>
  </si>
  <si>
    <t>VERFALL DES VORJAHRES-</t>
  </si>
  <si>
    <t>URLAUBS ZUM MONATSENDE</t>
  </si>
  <si>
    <r>
      <t>hinzu und tragen die Summe der ermittelten Arbeitszeiten als "</t>
    </r>
    <r>
      <rPr>
        <i/>
        <sz val="9"/>
        <rFont val="Arial"/>
        <family val="2"/>
      </rPr>
      <t>Sonstige Zeiten</t>
    </r>
    <r>
      <rPr>
        <b/>
        <sz val="9"/>
        <rFont val="Arial"/>
        <family val="2"/>
      </rPr>
      <t>" in Zeile 50 auf dem</t>
    </r>
  </si>
  <si>
    <t>An Tagen, die keine regulären Arbeitstage sind, bitte folgende Bezeichnungen in Spalte C eintragen:</t>
  </si>
  <si>
    <t>Silvester (bitte verwenden Sie für das nächste Jahr die dann aktuelle Vorlage)</t>
  </si>
  <si>
    <t>Feiertag</t>
  </si>
  <si>
    <t xml:space="preserve">Diese Arbeitszeitmappe wurde mit und für Excel 2016 in deutscher Sprache unter Windows 10 erstellt; </t>
  </si>
  <si>
    <t>Verfall des Urlaubs</t>
  </si>
  <si>
    <t>aus dem Vorjahr</t>
  </si>
  <si>
    <t>zum Oktober</t>
  </si>
  <si>
    <t>Tag</t>
  </si>
  <si>
    <t>arbeitstfrei</t>
  </si>
  <si>
    <t>Die 1. Kommentarspalte M wird mit ausgedruckt, die 2. Spalte N ist für private Anmerkungen vorgesehen.</t>
  </si>
  <si>
    <t>2023 Schulferien BW --&gt;</t>
  </si>
  <si>
    <t>https://km-bw.de/,Lde/Startseite/Service/Ferien</t>
  </si>
  <si>
    <t>Rosenmontag</t>
  </si>
  <si>
    <t>Jahresfeier Akademie</t>
  </si>
  <si>
    <t>bei Benutzung mit anderen Programmen oder Betriebssystemen kann es (u.a. opt.) Abweichungen geben.</t>
  </si>
  <si>
    <t>https://www.hadw-bw.de/gleitzeitordnung</t>
  </si>
  <si>
    <t>- an Urlaubstagen:</t>
  </si>
  <si>
    <t>- bei Krankheit:</t>
  </si>
  <si>
    <r>
      <t xml:space="preserve">- bei (vorher genehmigten) Arbeitszeitausgleich: </t>
    </r>
    <r>
      <rPr>
        <i/>
        <sz val="9"/>
        <rFont val="Arial"/>
        <family val="2"/>
      </rPr>
      <t>"Ausgleich"</t>
    </r>
    <r>
      <rPr>
        <b/>
        <sz val="9"/>
        <rFont val="Arial"/>
        <family val="2"/>
      </rPr>
      <t xml:space="preserve"> (-&gt; Minusstunden)</t>
    </r>
  </si>
  <si>
    <r>
      <t xml:space="preserve">                         </t>
    </r>
    <r>
      <rPr>
        <i/>
        <sz val="9"/>
        <rFont val="Arial"/>
        <family val="2"/>
      </rPr>
      <t>"krank"</t>
    </r>
  </si>
  <si>
    <r>
      <t xml:space="preserve">                         </t>
    </r>
    <r>
      <rPr>
        <i/>
        <sz val="9"/>
        <rFont val="Arial"/>
        <family val="2"/>
      </rPr>
      <t>"Urlaub"</t>
    </r>
  </si>
  <si>
    <t>Geschäftsstelle</t>
  </si>
  <si>
    <t>&lt;-- 2024 Schulferien BW</t>
  </si>
  <si>
    <t>&lt;-- 2024 Schulferien HD</t>
  </si>
  <si>
    <t>2024 Schulferien HD -&gt;</t>
  </si>
  <si>
    <t>2024 Pfingstmontag</t>
  </si>
  <si>
    <t>2024 Christi Himmelfahrt</t>
  </si>
  <si>
    <t>2024 Schulferien BW --&gt;</t>
  </si>
  <si>
    <t>2024 Fronleichnam</t>
  </si>
  <si>
    <t>2024 Ostermontag</t>
  </si>
  <si>
    <t>2024 Karfreitag</t>
  </si>
  <si>
    <t>Akademientag „Global Health“</t>
  </si>
  <si>
    <t>(bis 04.01.2024)</t>
  </si>
  <si>
    <t>Zeitumstellung Sommerzeit</t>
  </si>
  <si>
    <t>04.12.2023  HAdW / G. Wolff</t>
  </si>
  <si>
    <r>
      <t xml:space="preserve">Zur Information:                           </t>
    </r>
    <r>
      <rPr>
        <sz val="6"/>
        <rFont val="Arial"/>
        <family val="2"/>
      </rPr>
      <t xml:space="preserve">wöchentl. Arbeitszeit bei Vollbeschäftigung 39:30 h                      montags bis donnerstags 8 h                                 freitags 7:30 h                        </t>
    </r>
  </si>
  <si>
    <t>ggf. abweichend in anderen Städten</t>
  </si>
  <si>
    <t>2024 Schulferien BW -&gt;</t>
  </si>
  <si>
    <t>&lt;--2024 Schulferien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</si>
</sst>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yy"/>
    <numFmt numFmtId="165" formatCode="[h]:mm"/>
    <numFmt numFmtId="166" formatCode="[h]:mm\ &quot;h&quot;"/>
    <numFmt numFmtId="167" formatCode="mmm/\ yy"/>
    <numFmt numFmtId="168" formatCode="dd/mm/"/>
    <numFmt numFmtId="169" formatCode="0.0"/>
  </numFmts>
  <fonts count="61" x14ac:knownFonts="1">
    <font>
      <sz val="10"/>
      <name val="Arial"/>
    </font>
    <font>
      <sz val="9"/>
      <name val="Arial"/>
      <family val="2"/>
    </font>
    <font>
      <sz val="6"/>
      <name val="Arial"/>
      <family val="2"/>
    </font>
    <font>
      <b/>
      <sz val="12"/>
      <name val="Arial"/>
      <family val="2"/>
    </font>
    <font>
      <b/>
      <sz val="10"/>
      <name val="Arial"/>
      <family val="2"/>
    </font>
    <font>
      <b/>
      <sz val="20"/>
      <name val="Arial"/>
      <family val="2"/>
    </font>
    <font>
      <sz val="8"/>
      <name val="Arial"/>
      <family val="2"/>
    </font>
    <font>
      <sz val="12"/>
      <name val="Arial"/>
      <family val="2"/>
    </font>
    <font>
      <sz val="7"/>
      <name val="Arial"/>
      <family val="2"/>
    </font>
    <font>
      <i/>
      <sz val="8"/>
      <name val="Tahoma"/>
      <family val="2"/>
    </font>
    <font>
      <i/>
      <sz val="10"/>
      <name val="Century Gothic"/>
      <family val="2"/>
    </font>
    <font>
      <b/>
      <i/>
      <sz val="10"/>
      <name val="Century Gothic"/>
      <family val="2"/>
    </font>
    <font>
      <sz val="10"/>
      <color indexed="8"/>
      <name val="Arial"/>
      <family val="2"/>
    </font>
    <font>
      <b/>
      <sz val="10"/>
      <name val="Century Gothic"/>
      <family val="2"/>
    </font>
    <font>
      <b/>
      <sz val="10"/>
      <name val="Arial"/>
      <family val="2"/>
    </font>
    <font>
      <b/>
      <sz val="9"/>
      <name val="Arial"/>
      <family val="2"/>
    </font>
    <font>
      <sz val="10"/>
      <name val="Arial"/>
      <family val="2"/>
    </font>
    <font>
      <sz val="14"/>
      <name val="Times New Roman"/>
      <family val="1"/>
    </font>
    <font>
      <sz val="8"/>
      <name val="Times New Roman"/>
      <family val="1"/>
    </font>
    <font>
      <b/>
      <sz val="22"/>
      <name val="Times New Roman"/>
      <family val="1"/>
    </font>
    <font>
      <b/>
      <sz val="11"/>
      <name val="Times New Roman"/>
      <family val="1"/>
    </font>
    <font>
      <sz val="6"/>
      <name val="Times New Roman"/>
      <family val="1"/>
    </font>
    <font>
      <b/>
      <sz val="10"/>
      <color indexed="10"/>
      <name val="Arial"/>
      <family val="2"/>
    </font>
    <font>
      <b/>
      <sz val="8"/>
      <color indexed="81"/>
      <name val="Tahoma"/>
      <family val="2"/>
    </font>
    <font>
      <sz val="8"/>
      <color indexed="81"/>
      <name val="Tahoma"/>
      <family val="2"/>
    </font>
    <font>
      <b/>
      <sz val="12"/>
      <name val="Times New Roman"/>
      <family val="1"/>
    </font>
    <font>
      <b/>
      <i/>
      <sz val="10"/>
      <name val="Arial"/>
      <family val="2"/>
    </font>
    <font>
      <b/>
      <sz val="8"/>
      <name val="Arial"/>
      <family val="2"/>
    </font>
    <font>
      <b/>
      <sz val="11"/>
      <name val="Calibri"/>
      <family val="2"/>
    </font>
    <font>
      <b/>
      <i/>
      <u val="double"/>
      <sz val="10"/>
      <name val="Arial"/>
      <family val="2"/>
    </font>
    <font>
      <sz val="10"/>
      <name val="Century Gothic"/>
      <family val="2"/>
    </font>
    <font>
      <b/>
      <sz val="6"/>
      <name val="Arial"/>
      <family val="2"/>
    </font>
    <font>
      <b/>
      <sz val="11"/>
      <color rgb="FFFF0000"/>
      <name val="Times New Roman"/>
      <family val="1"/>
    </font>
    <font>
      <b/>
      <sz val="18"/>
      <color theme="4" tint="0.39997558519241921"/>
      <name val="Arial"/>
      <family val="2"/>
    </font>
    <font>
      <b/>
      <sz val="18"/>
      <color theme="4" tint="0.39997558519241921"/>
      <name val="Century Gothic"/>
      <family val="2"/>
    </font>
    <font>
      <sz val="6"/>
      <color theme="2"/>
      <name val="Arial"/>
      <family val="2"/>
    </font>
    <font>
      <sz val="10"/>
      <color rgb="FFFF0000"/>
      <name val="Cambria"/>
      <family val="1"/>
    </font>
    <font>
      <b/>
      <sz val="18"/>
      <color rgb="FFFF0000"/>
      <name val="Arial"/>
      <family val="2"/>
    </font>
    <font>
      <b/>
      <sz val="10"/>
      <color rgb="FFFF0000"/>
      <name val="Cambria"/>
      <family val="1"/>
    </font>
    <font>
      <b/>
      <i/>
      <sz val="10"/>
      <color rgb="FFFF0000"/>
      <name val="Cambria"/>
      <family val="1"/>
    </font>
    <font>
      <b/>
      <sz val="10"/>
      <color theme="4" tint="0.39997558519241921"/>
      <name val="Arial"/>
      <family val="2"/>
    </font>
    <font>
      <b/>
      <sz val="10"/>
      <color rgb="FFFF0000"/>
      <name val="Century Gothic"/>
      <family val="2"/>
    </font>
    <font>
      <i/>
      <sz val="10"/>
      <color rgb="FF99CCFF"/>
      <name val="Cambria"/>
      <family val="1"/>
    </font>
    <font>
      <sz val="10"/>
      <color rgb="FF99CCFF"/>
      <name val="Cambria"/>
      <family val="1"/>
    </font>
    <font>
      <b/>
      <sz val="18"/>
      <color rgb="FF99CCFF"/>
      <name val="Cambria"/>
      <family val="1"/>
    </font>
    <font>
      <b/>
      <sz val="10"/>
      <color rgb="FF99CCFF"/>
      <name val="Cambria"/>
      <family val="1"/>
    </font>
    <font>
      <i/>
      <sz val="10"/>
      <color rgb="FF99CCFF"/>
      <name val="Century Gothic"/>
      <family val="2"/>
    </font>
    <font>
      <b/>
      <i/>
      <sz val="10"/>
      <color rgb="FF99CCFF"/>
      <name val="Century Gothic"/>
      <family val="2"/>
    </font>
    <font>
      <sz val="10"/>
      <color rgb="FF99CCFF"/>
      <name val="Century Gothic"/>
      <family val="2"/>
    </font>
    <font>
      <b/>
      <sz val="11"/>
      <color theme="1"/>
      <name val="Times New Roman"/>
      <family val="1"/>
    </font>
    <font>
      <sz val="10"/>
      <color theme="0"/>
      <name val="Cambria"/>
      <family val="1"/>
    </font>
    <font>
      <b/>
      <sz val="11"/>
      <color theme="0"/>
      <name val="Cambria"/>
      <family val="1"/>
    </font>
    <font>
      <b/>
      <sz val="10"/>
      <color theme="0"/>
      <name val="Arial"/>
      <family val="2"/>
    </font>
    <font>
      <sz val="8"/>
      <color theme="0"/>
      <name val="Arial"/>
      <family val="2"/>
    </font>
    <font>
      <sz val="8"/>
      <color theme="2"/>
      <name val="Arial"/>
      <family val="2"/>
    </font>
    <font>
      <sz val="10"/>
      <color theme="0"/>
      <name val="Arial"/>
      <family val="2"/>
    </font>
    <font>
      <i/>
      <sz val="9"/>
      <name val="Arial"/>
      <family val="2"/>
    </font>
    <font>
      <sz val="10"/>
      <color rgb="FFFF0000"/>
      <name val="Arial"/>
      <family val="2"/>
    </font>
    <font>
      <b/>
      <sz val="10"/>
      <color rgb="FFFF0000"/>
      <name val="Arial"/>
      <family val="2"/>
    </font>
    <font>
      <b/>
      <sz val="12"/>
      <color rgb="FFFF0000"/>
      <name val="Arial"/>
      <family val="2"/>
    </font>
    <font>
      <sz val="8"/>
      <color theme="2" tint="-0.249977111117893"/>
      <name val="Arial"/>
      <family val="2"/>
    </font>
  </fonts>
  <fills count="6">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theme="4" tint="0.39994506668294322"/>
        <bgColor indexed="64"/>
      </patternFill>
    </fill>
    <fill>
      <patternFill patternType="solid">
        <fgColor theme="0"/>
        <bgColor indexed="64"/>
      </patternFill>
    </fill>
  </fills>
  <borders count="72">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8"/>
      </bottom>
      <diagonal/>
    </border>
    <border>
      <left/>
      <right/>
      <top/>
      <bottom style="medium">
        <color indexed="64"/>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8"/>
      </top>
      <bottom/>
      <diagonal/>
    </border>
    <border>
      <left style="medium">
        <color indexed="8"/>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8"/>
      </left>
      <right style="thin">
        <color indexed="8"/>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8"/>
      </left>
      <right style="thin">
        <color indexed="64"/>
      </right>
      <top style="medium">
        <color indexed="8"/>
      </top>
      <bottom style="thin">
        <color indexed="64"/>
      </bottom>
      <diagonal/>
    </border>
    <border>
      <left style="medium">
        <color indexed="64"/>
      </left>
      <right/>
      <top style="thick">
        <color indexed="64"/>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8"/>
      </top>
      <bottom/>
      <diagonal/>
    </border>
    <border>
      <left/>
      <right style="thin">
        <color indexed="64"/>
      </right>
      <top/>
      <bottom style="thin">
        <color indexed="8"/>
      </bottom>
      <diagonal/>
    </border>
  </borders>
  <cellStyleXfs count="2">
    <xf numFmtId="0" fontId="0" fillId="0" borderId="0"/>
    <xf numFmtId="0" fontId="16" fillId="0" borderId="0"/>
  </cellStyleXfs>
  <cellXfs count="402">
    <xf numFmtId="0" fontId="0" fillId="0" borderId="0" xfId="0"/>
    <xf numFmtId="166" fontId="20" fillId="3" borderId="1" xfId="1" applyNumberFormat="1" applyFont="1" applyFill="1" applyBorder="1" applyAlignment="1" applyProtection="1">
      <alignment horizontal="center" vertical="center"/>
      <protection locked="0"/>
    </xf>
    <xf numFmtId="166" fontId="20" fillId="3" borderId="2" xfId="1" applyNumberFormat="1" applyFont="1" applyFill="1" applyBorder="1" applyAlignment="1" applyProtection="1">
      <alignment horizontal="center" vertical="center"/>
      <protection locked="0"/>
    </xf>
    <xf numFmtId="166" fontId="32" fillId="3" borderId="1" xfId="1" applyNumberFormat="1" applyFont="1" applyFill="1" applyBorder="1" applyAlignment="1" applyProtection="1">
      <alignment horizontal="center" vertical="center"/>
      <protection locked="0"/>
    </xf>
    <xf numFmtId="20" fontId="10" fillId="0" borderId="3" xfId="0" applyNumberFormat="1" applyFont="1" applyFill="1" applyBorder="1" applyAlignment="1" applyProtection="1">
      <alignment horizontal="center" vertical="center"/>
      <protection locked="0"/>
    </xf>
    <xf numFmtId="166" fontId="10" fillId="0" borderId="3" xfId="0" applyNumberFormat="1" applyFont="1" applyFill="1" applyBorder="1" applyAlignment="1" applyProtection="1">
      <alignment horizontal="center" vertical="center"/>
      <protection hidden="1"/>
    </xf>
    <xf numFmtId="166" fontId="33" fillId="0" borderId="4" xfId="0" applyNumberFormat="1" applyFont="1" applyFill="1" applyBorder="1" applyAlignment="1" applyProtection="1">
      <alignment horizontal="right" vertical="center"/>
      <protection hidden="1"/>
    </xf>
    <xf numFmtId="166" fontId="4" fillId="0" borderId="5" xfId="0" applyNumberFormat="1" applyFont="1" applyFill="1" applyBorder="1" applyAlignment="1" applyProtection="1">
      <alignment horizontal="left" vertical="center"/>
      <protection hidden="1"/>
    </xf>
    <xf numFmtId="166" fontId="33" fillId="0" borderId="6" xfId="0" applyNumberFormat="1" applyFont="1" applyFill="1" applyBorder="1" applyAlignment="1" applyProtection="1">
      <alignment horizontal="right" vertical="center"/>
      <protection hidden="1"/>
    </xf>
    <xf numFmtId="166" fontId="4" fillId="0" borderId="7" xfId="0" applyNumberFormat="1" applyFont="1" applyFill="1" applyBorder="1" applyAlignment="1" applyProtection="1">
      <alignment horizontal="left" vertical="center"/>
      <protection hidden="1"/>
    </xf>
    <xf numFmtId="166" fontId="33" fillId="3" borderId="6" xfId="0" applyNumberFormat="1" applyFont="1" applyFill="1" applyBorder="1" applyAlignment="1" applyProtection="1">
      <alignment horizontal="right" vertical="center"/>
      <protection hidden="1"/>
    </xf>
    <xf numFmtId="166" fontId="4" fillId="3" borderId="0" xfId="0" applyNumberFormat="1" applyFont="1" applyFill="1" applyAlignment="1" applyProtection="1">
      <alignment horizontal="left"/>
      <protection hidden="1"/>
    </xf>
    <xf numFmtId="166" fontId="10" fillId="2" borderId="3" xfId="0" applyNumberFormat="1" applyFont="1" applyFill="1" applyBorder="1" applyAlignment="1" applyProtection="1">
      <alignment horizontal="center" vertical="center"/>
      <protection hidden="1"/>
    </xf>
    <xf numFmtId="166" fontId="33" fillId="0" borderId="8" xfId="0" applyNumberFormat="1" applyFont="1" applyFill="1" applyBorder="1" applyAlignment="1" applyProtection="1">
      <alignment horizontal="right" vertical="center"/>
      <protection hidden="1"/>
    </xf>
    <xf numFmtId="166" fontId="4" fillId="0" borderId="9"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7" fillId="0" borderId="0" xfId="0" applyFont="1" applyBorder="1" applyAlignment="1" applyProtection="1">
      <protection hidden="1"/>
    </xf>
    <xf numFmtId="0" fontId="0" fillId="0" borderId="0" xfId="0" applyProtection="1">
      <protection hidden="1"/>
    </xf>
    <xf numFmtId="0" fontId="7" fillId="0" borderId="0" xfId="0" applyFont="1" applyAlignment="1" applyProtection="1">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protection hidden="1"/>
    </xf>
    <xf numFmtId="49" fontId="0" fillId="0" borderId="10" xfId="0" applyNumberFormat="1" applyBorder="1" applyAlignment="1" applyProtection="1">
      <alignment horizontal="center" vertical="center"/>
      <protection hidden="1"/>
    </xf>
    <xf numFmtId="49" fontId="0" fillId="0" borderId="10" xfId="0" applyNumberFormat="1" applyBorder="1"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right" vertical="top"/>
      <protection hidden="1"/>
    </xf>
    <xf numFmtId="166" fontId="0" fillId="0" borderId="11" xfId="0" applyNumberFormat="1" applyBorder="1" applyAlignment="1" applyProtection="1">
      <alignment horizontal="right" vertical="center"/>
      <protection hidden="1"/>
    </xf>
    <xf numFmtId="0" fontId="0" fillId="0" borderId="11" xfId="0" applyBorder="1" applyAlignment="1" applyProtection="1">
      <alignment horizontal="left"/>
      <protection hidden="1"/>
    </xf>
    <xf numFmtId="49" fontId="0" fillId="0" borderId="0" xfId="0" applyNumberFormat="1" applyBorder="1" applyAlignment="1" applyProtection="1">
      <alignment horizontal="center" vertical="center"/>
      <protection hidden="1"/>
    </xf>
    <xf numFmtId="49" fontId="0" fillId="0" borderId="0" xfId="0" applyNumberFormat="1" applyBorder="1" applyAlignment="1" applyProtection="1">
      <alignment horizontal="center"/>
      <protection hidden="1"/>
    </xf>
    <xf numFmtId="0" fontId="0" fillId="0" borderId="0" xfId="0" applyBorder="1" applyProtection="1">
      <protection hidden="1"/>
    </xf>
    <xf numFmtId="0" fontId="0" fillId="0" borderId="0" xfId="0" applyBorder="1" applyAlignment="1" applyProtection="1">
      <alignment horizontal="right" vertical="top"/>
      <protection hidden="1"/>
    </xf>
    <xf numFmtId="166" fontId="0" fillId="0" borderId="0" xfId="0" applyNumberFormat="1" applyAlignment="1" applyProtection="1">
      <alignment horizontal="right" vertical="center"/>
      <protection hidden="1"/>
    </xf>
    <xf numFmtId="0" fontId="0" fillId="0" borderId="0" xfId="0" applyAlignment="1" applyProtection="1">
      <alignment horizontal="left"/>
      <protection hidden="1"/>
    </xf>
    <xf numFmtId="20" fontId="11" fillId="0" borderId="12" xfId="0" applyNumberFormat="1" applyFont="1" applyBorder="1" applyAlignment="1" applyProtection="1">
      <alignment horizontal="left"/>
      <protection hidden="1"/>
    </xf>
    <xf numFmtId="0" fontId="0" fillId="0" borderId="13" xfId="0" applyBorder="1" applyAlignment="1" applyProtection="1">
      <alignment horizontal="center"/>
      <protection hidden="1"/>
    </xf>
    <xf numFmtId="0" fontId="0" fillId="0" borderId="13" xfId="0" applyBorder="1" applyProtection="1">
      <protection hidden="1"/>
    </xf>
    <xf numFmtId="0" fontId="0" fillId="0" borderId="0" xfId="0" applyBorder="1" applyAlignment="1" applyProtection="1">
      <alignment horizontal="right"/>
      <protection hidden="1"/>
    </xf>
    <xf numFmtId="0" fontId="0" fillId="0" borderId="12" xfId="0" applyBorder="1" applyProtection="1">
      <protection hidden="1"/>
    </xf>
    <xf numFmtId="17" fontId="11" fillId="0" borderId="12" xfId="0" applyNumberFormat="1" applyFont="1" applyBorder="1" applyAlignment="1" applyProtection="1">
      <alignment horizontal="right"/>
      <protection hidden="1"/>
    </xf>
    <xf numFmtId="0" fontId="11" fillId="0" borderId="12" xfId="0" applyNumberFormat="1" applyFont="1" applyBorder="1" applyAlignment="1" applyProtection="1">
      <alignment horizontal="left"/>
      <protection hidden="1"/>
    </xf>
    <xf numFmtId="166" fontId="0" fillId="0" borderId="12" xfId="0" applyNumberFormat="1" applyBorder="1" applyAlignment="1" applyProtection="1">
      <alignment horizontal="right" vertical="center"/>
      <protection hidden="1"/>
    </xf>
    <xf numFmtId="0" fontId="0" fillId="0" borderId="12" xfId="0"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0" fillId="4" borderId="0" xfId="0" applyFill="1" applyProtection="1">
      <protection hidden="1"/>
    </xf>
    <xf numFmtId="0" fontId="4" fillId="4" borderId="0" xfId="0" applyFont="1" applyFill="1" applyBorder="1" applyAlignment="1" applyProtection="1">
      <alignment horizontal="right" vertical="top"/>
      <protection hidden="1"/>
    </xf>
    <xf numFmtId="166" fontId="0" fillId="5" borderId="0" xfId="0" applyNumberFormat="1" applyFill="1" applyAlignment="1" applyProtection="1">
      <alignment horizontal="right" vertical="center"/>
      <protection hidden="1"/>
    </xf>
    <xf numFmtId="0" fontId="0" fillId="5" borderId="0" xfId="0" applyFill="1" applyAlignment="1" applyProtection="1">
      <alignment horizontal="left"/>
      <protection hidden="1"/>
    </xf>
    <xf numFmtId="0" fontId="0" fillId="0" borderId="13" xfId="0" applyBorder="1" applyAlignment="1" applyProtection="1">
      <protection hidden="1"/>
    </xf>
    <xf numFmtId="0" fontId="0" fillId="0" borderId="12" xfId="0" applyBorder="1" applyAlignment="1" applyProtection="1">
      <alignment horizontal="right"/>
      <protection hidden="1"/>
    </xf>
    <xf numFmtId="0" fontId="16" fillId="4" borderId="12" xfId="0" applyFont="1" applyFill="1" applyBorder="1" applyAlignment="1" applyProtection="1">
      <alignment horizontal="right"/>
      <protection hidden="1"/>
    </xf>
    <xf numFmtId="0" fontId="4" fillId="4" borderId="13" xfId="0" applyFont="1" applyFill="1" applyBorder="1" applyAlignment="1" applyProtection="1">
      <alignment horizontal="right"/>
      <protection hidden="1"/>
    </xf>
    <xf numFmtId="0" fontId="1" fillId="0" borderId="14" xfId="0" applyFont="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13" fillId="5" borderId="6" xfId="0" applyFont="1" applyFill="1" applyBorder="1" applyAlignment="1" applyProtection="1">
      <alignment horizontal="left" vertical="center"/>
      <protection hidden="1"/>
    </xf>
    <xf numFmtId="20" fontId="30" fillId="5" borderId="16" xfId="0" applyNumberFormat="1" applyFont="1" applyFill="1" applyBorder="1" applyAlignment="1" applyProtection="1">
      <alignment horizontal="left" vertical="center"/>
      <protection hidden="1"/>
    </xf>
    <xf numFmtId="0" fontId="30" fillId="5" borderId="16" xfId="0" applyFont="1" applyFill="1" applyBorder="1" applyAlignment="1" applyProtection="1">
      <alignment horizontal="center"/>
      <protection hidden="1"/>
    </xf>
    <xf numFmtId="20" fontId="11" fillId="5" borderId="16" xfId="0" applyNumberFormat="1" applyFont="1" applyFill="1" applyBorder="1" applyAlignment="1" applyProtection="1">
      <alignment horizontal="left" vertical="center"/>
      <protection hidden="1"/>
    </xf>
    <xf numFmtId="20" fontId="11" fillId="5" borderId="7" xfId="0" applyNumberFormat="1" applyFont="1" applyFill="1" applyBorder="1" applyAlignment="1" applyProtection="1">
      <alignment horizontal="left" vertical="center"/>
      <protection hidden="1"/>
    </xf>
    <xf numFmtId="166" fontId="11" fillId="5" borderId="6" xfId="0" applyNumberFormat="1" applyFont="1" applyFill="1" applyBorder="1" applyAlignment="1" applyProtection="1">
      <alignment horizontal="center" vertical="center"/>
      <protection hidden="1"/>
    </xf>
    <xf numFmtId="166" fontId="11" fillId="5" borderId="3" xfId="0" applyNumberFormat="1" applyFont="1" applyFill="1" applyBorder="1" applyAlignment="1" applyProtection="1">
      <alignment horizontal="center" vertical="center"/>
      <protection hidden="1"/>
    </xf>
    <xf numFmtId="166" fontId="34" fillId="5" borderId="6" xfId="0" applyNumberFormat="1" applyFont="1" applyFill="1" applyBorder="1" applyAlignment="1" applyProtection="1">
      <alignment horizontal="right" vertical="center"/>
      <protection hidden="1"/>
    </xf>
    <xf numFmtId="166" fontId="13" fillId="5" borderId="7" xfId="0" applyNumberFormat="1" applyFont="1" applyFill="1" applyBorder="1" applyAlignment="1" applyProtection="1">
      <alignment horizontal="left" vertical="center"/>
      <protection hidden="1"/>
    </xf>
    <xf numFmtId="0" fontId="30" fillId="5" borderId="0" xfId="0" applyFont="1" applyFill="1" applyProtection="1">
      <protection hidden="1"/>
    </xf>
    <xf numFmtId="20" fontId="35" fillId="0" borderId="0" xfId="0" applyNumberFormat="1" applyFont="1" applyBorder="1" applyAlignment="1" applyProtection="1">
      <alignment horizontal="center"/>
      <protection hidden="1"/>
    </xf>
    <xf numFmtId="0" fontId="4" fillId="0" borderId="0" xfId="0" applyFont="1" applyAlignment="1" applyProtection="1">
      <alignment horizontal="right"/>
      <protection hidden="1"/>
    </xf>
    <xf numFmtId="0" fontId="0" fillId="0" borderId="0" xfId="0" applyAlignment="1" applyProtection="1">
      <alignment horizontal="right"/>
      <protection hidden="1"/>
    </xf>
    <xf numFmtId="0" fontId="2" fillId="0" borderId="0" xfId="0" applyFont="1" applyBorder="1" applyProtection="1">
      <protection hidden="1"/>
    </xf>
    <xf numFmtId="166" fontId="27" fillId="0" borderId="1" xfId="1" applyNumberFormat="1" applyFont="1" applyBorder="1" applyAlignment="1" applyProtection="1">
      <alignment horizontal="center" vertical="center"/>
      <protection hidden="1"/>
    </xf>
    <xf numFmtId="0" fontId="6" fillId="0" borderId="0" xfId="0" applyFont="1" applyProtection="1">
      <protection hidden="1"/>
    </xf>
    <xf numFmtId="164" fontId="11" fillId="0" borderId="12" xfId="0" applyNumberFormat="1" applyFont="1" applyBorder="1" applyAlignment="1" applyProtection="1">
      <alignment horizontal="right"/>
      <protection hidden="1"/>
    </xf>
    <xf numFmtId="0" fontId="1" fillId="0" borderId="17" xfId="0" applyFont="1" applyBorder="1" applyAlignment="1" applyProtection="1">
      <alignment horizontal="center" vertical="center"/>
      <protection hidden="1"/>
    </xf>
    <xf numFmtId="20" fontId="2" fillId="0" borderId="0" xfId="0" applyNumberFormat="1" applyFont="1" applyAlignment="1" applyProtection="1">
      <alignment horizontal="center"/>
      <protection hidden="1"/>
    </xf>
    <xf numFmtId="20" fontId="11" fillId="3" borderId="3" xfId="0" applyNumberFormat="1" applyFont="1" applyFill="1" applyBorder="1" applyAlignment="1" applyProtection="1">
      <alignment horizontal="left" vertical="center"/>
      <protection locked="0"/>
    </xf>
    <xf numFmtId="20" fontId="10" fillId="3" borderId="3" xfId="0" applyNumberFormat="1" applyFont="1" applyFill="1" applyBorder="1" applyAlignment="1" applyProtection="1">
      <alignment horizontal="center" vertical="center"/>
      <protection locked="0"/>
    </xf>
    <xf numFmtId="166" fontId="10" fillId="0" borderId="18" xfId="0" applyNumberFormat="1"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9" xfId="0" applyBorder="1" applyAlignment="1" applyProtection="1">
      <protection hidden="1"/>
    </xf>
    <xf numFmtId="0" fontId="0" fillId="0" borderId="20" xfId="0" applyBorder="1" applyAlignment="1" applyProtection="1">
      <protection hidden="1"/>
    </xf>
    <xf numFmtId="166" fontId="10" fillId="0" borderId="21" xfId="0" applyNumberFormat="1" applyFont="1" applyBorder="1" applyAlignment="1" applyProtection="1">
      <alignment horizontal="center"/>
      <protection hidden="1"/>
    </xf>
    <xf numFmtId="166" fontId="33" fillId="0" borderId="22" xfId="0" applyNumberFormat="1" applyFont="1" applyFill="1" applyBorder="1" applyAlignment="1" applyProtection="1">
      <alignment horizontal="right" vertical="center"/>
      <protection hidden="1"/>
    </xf>
    <xf numFmtId="166" fontId="4" fillId="0" borderId="23" xfId="0" applyNumberFormat="1" applyFont="1" applyFill="1" applyBorder="1" applyAlignment="1" applyProtection="1">
      <alignment horizontal="left" vertical="center"/>
      <protection hidden="1"/>
    </xf>
    <xf numFmtId="20" fontId="10" fillId="0" borderId="18" xfId="0" applyNumberFormat="1" applyFont="1" applyFill="1" applyBorder="1" applyAlignment="1" applyProtection="1">
      <alignment horizontal="center" vertical="center"/>
      <protection locked="0"/>
    </xf>
    <xf numFmtId="20" fontId="13" fillId="5" borderId="16" xfId="0" applyNumberFormat="1" applyFont="1" applyFill="1" applyBorder="1" applyAlignment="1" applyProtection="1">
      <alignment horizontal="left" vertical="center"/>
      <protection hidden="1"/>
    </xf>
    <xf numFmtId="0" fontId="13" fillId="5" borderId="16" xfId="0" applyFont="1" applyFill="1" applyBorder="1" applyAlignment="1" applyProtection="1">
      <alignment horizontal="center"/>
      <protection hidden="1"/>
    </xf>
    <xf numFmtId="166" fontId="33" fillId="3" borderId="4" xfId="0" applyNumberFormat="1" applyFont="1" applyFill="1" applyBorder="1" applyAlignment="1" applyProtection="1">
      <alignment horizontal="right" vertical="center"/>
      <protection hidden="1"/>
    </xf>
    <xf numFmtId="166" fontId="4" fillId="3" borderId="5" xfId="0" applyNumberFormat="1" applyFont="1" applyFill="1" applyBorder="1" applyAlignment="1" applyProtection="1">
      <alignment horizontal="left" vertical="center"/>
      <protection hidden="1"/>
    </xf>
    <xf numFmtId="166" fontId="10" fillId="0" borderId="9" xfId="0" applyNumberFormat="1" applyFont="1" applyFill="1" applyBorder="1" applyAlignment="1" applyProtection="1">
      <alignment horizontal="center" vertical="center"/>
      <protection hidden="1"/>
    </xf>
    <xf numFmtId="166" fontId="0" fillId="0" borderId="0" xfId="0" applyNumberFormat="1" applyAlignment="1" applyProtection="1">
      <alignment horizontal="center" vertical="center"/>
      <protection hidden="1"/>
    </xf>
    <xf numFmtId="0" fontId="2" fillId="0" borderId="0" xfId="0" applyFont="1" applyProtection="1">
      <protection hidden="1"/>
    </xf>
    <xf numFmtId="166" fontId="31" fillId="0" borderId="1" xfId="1" applyNumberFormat="1" applyFont="1" applyBorder="1" applyAlignment="1" applyProtection="1">
      <alignment horizontal="center" vertical="center"/>
      <protection hidden="1"/>
    </xf>
    <xf numFmtId="0" fontId="11" fillId="0" borderId="12" xfId="0" applyNumberFormat="1" applyFont="1" applyFill="1" applyBorder="1" applyAlignment="1" applyProtection="1">
      <alignment horizontal="left"/>
      <protection hidden="1"/>
    </xf>
    <xf numFmtId="167" fontId="11" fillId="0" borderId="12" xfId="0" applyNumberFormat="1" applyFont="1" applyBorder="1" applyAlignment="1" applyProtection="1">
      <alignment horizontal="right"/>
      <protection hidden="1"/>
    </xf>
    <xf numFmtId="0" fontId="4" fillId="0" borderId="13" xfId="0" applyFont="1" applyBorder="1" applyAlignment="1" applyProtection="1">
      <alignment horizontal="left"/>
      <protection hidden="1"/>
    </xf>
    <xf numFmtId="0" fontId="9" fillId="0" borderId="3" xfId="0" applyFont="1" applyBorder="1" applyAlignment="1" applyProtection="1">
      <alignment horizontal="center"/>
      <protection hidden="1"/>
    </xf>
    <xf numFmtId="166" fontId="10" fillId="0" borderId="3" xfId="0" applyNumberFormat="1" applyFont="1" applyBorder="1" applyAlignment="1" applyProtection="1">
      <alignment horizontal="center"/>
      <protection hidden="1"/>
    </xf>
    <xf numFmtId="0" fontId="0" fillId="0" borderId="0" xfId="0" applyBorder="1" applyAlignment="1" applyProtection="1">
      <protection hidden="1"/>
    </xf>
    <xf numFmtId="0" fontId="0" fillId="0" borderId="12" xfId="0" applyBorder="1" applyAlignment="1" applyProtection="1">
      <protection hidden="1"/>
    </xf>
    <xf numFmtId="0" fontId="1" fillId="0" borderId="24" xfId="0" applyFont="1" applyBorder="1" applyAlignment="1" applyProtection="1">
      <alignment horizontal="center" vertical="center"/>
      <protection hidden="1"/>
    </xf>
    <xf numFmtId="0" fontId="12" fillId="3" borderId="15" xfId="0" applyFont="1" applyFill="1" applyBorder="1" applyAlignment="1" applyProtection="1">
      <alignment horizontal="center" vertical="center"/>
      <protection hidden="1"/>
    </xf>
    <xf numFmtId="166" fontId="4" fillId="3" borderId="7" xfId="0" applyNumberFormat="1" applyFont="1" applyFill="1" applyBorder="1" applyAlignment="1" applyProtection="1">
      <alignment horizontal="left" vertical="center"/>
      <protection hidden="1"/>
    </xf>
    <xf numFmtId="0" fontId="0" fillId="0" borderId="14" xfId="0"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20" fontId="11" fillId="0" borderId="12" xfId="0" applyNumberFormat="1" applyFont="1" applyBorder="1" applyAlignment="1" applyProtection="1">
      <alignment horizontal="right"/>
      <protection hidden="1"/>
    </xf>
    <xf numFmtId="0" fontId="30" fillId="5" borderId="3" xfId="0" applyFont="1" applyFill="1" applyBorder="1" applyAlignment="1" applyProtection="1">
      <alignment horizontal="left" vertical="center"/>
      <protection hidden="1"/>
    </xf>
    <xf numFmtId="20" fontId="30" fillId="5" borderId="3" xfId="0" applyNumberFormat="1" applyFont="1" applyFill="1" applyBorder="1" applyAlignment="1" applyProtection="1">
      <alignment horizontal="left" vertical="center"/>
      <protection hidden="1"/>
    </xf>
    <xf numFmtId="0" fontId="30" fillId="5" borderId="3" xfId="0" applyFont="1" applyFill="1" applyBorder="1" applyAlignment="1" applyProtection="1">
      <alignment horizontal="center"/>
      <protection locked="0"/>
    </xf>
    <xf numFmtId="20" fontId="11" fillId="5" borderId="3" xfId="0" applyNumberFormat="1" applyFont="1" applyFill="1" applyBorder="1" applyAlignment="1" applyProtection="1">
      <alignment horizontal="left" vertical="center"/>
      <protection locked="0"/>
    </xf>
    <xf numFmtId="0" fontId="17" fillId="0" borderId="0" xfId="1" applyFont="1" applyBorder="1" applyAlignment="1" applyProtection="1">
      <alignment horizontal="left" vertical="center"/>
      <protection hidden="1"/>
    </xf>
    <xf numFmtId="0" fontId="18" fillId="0" borderId="0" xfId="1" applyFont="1" applyBorder="1" applyAlignment="1" applyProtection="1">
      <alignment vertical="center"/>
      <protection hidden="1"/>
    </xf>
    <xf numFmtId="0" fontId="18" fillId="0" borderId="0" xfId="1" applyFont="1" applyAlignment="1" applyProtection="1">
      <alignment vertical="center"/>
      <protection hidden="1"/>
    </xf>
    <xf numFmtId="0" fontId="19" fillId="0" borderId="11" xfId="1" applyFont="1" applyBorder="1" applyAlignment="1" applyProtection="1">
      <alignment vertical="center"/>
      <protection hidden="1"/>
    </xf>
    <xf numFmtId="0" fontId="18" fillId="0" borderId="11" xfId="1" applyFont="1" applyBorder="1" applyAlignment="1" applyProtection="1">
      <alignment vertical="center"/>
      <protection hidden="1"/>
    </xf>
    <xf numFmtId="0" fontId="3" fillId="0" borderId="11" xfId="1" applyFont="1" applyBorder="1" applyAlignment="1" applyProtection="1">
      <alignment vertical="center"/>
      <protection hidden="1"/>
    </xf>
    <xf numFmtId="0" fontId="18" fillId="0" borderId="25" xfId="1" applyFont="1" applyBorder="1" applyAlignment="1" applyProtection="1">
      <alignment horizontal="center" vertical="center"/>
      <protection hidden="1"/>
    </xf>
    <xf numFmtId="0" fontId="20" fillId="0" borderId="26" xfId="1" applyFont="1" applyBorder="1" applyAlignment="1" applyProtection="1">
      <alignment horizontal="left" vertical="center" wrapText="1"/>
      <protection hidden="1"/>
    </xf>
    <xf numFmtId="0" fontId="16" fillId="0" borderId="25" xfId="1" applyBorder="1" applyAlignment="1" applyProtection="1">
      <alignment horizontal="center" vertical="center"/>
      <protection hidden="1"/>
    </xf>
    <xf numFmtId="0" fontId="20" fillId="0" borderId="27" xfId="1" applyFont="1" applyBorder="1" applyAlignment="1" applyProtection="1">
      <alignment horizontal="left" vertical="center" wrapText="1"/>
      <protection hidden="1"/>
    </xf>
    <xf numFmtId="0" fontId="16" fillId="0" borderId="0" xfId="1" applyProtection="1">
      <protection hidden="1"/>
    </xf>
    <xf numFmtId="166" fontId="20" fillId="0" borderId="1" xfId="1" applyNumberFormat="1" applyFont="1" applyFill="1" applyBorder="1" applyAlignment="1" applyProtection="1">
      <alignment horizontal="center" vertical="center"/>
      <protection hidden="1"/>
    </xf>
    <xf numFmtId="0" fontId="8" fillId="0" borderId="26" xfId="1" applyFont="1" applyBorder="1" applyAlignment="1" applyProtection="1">
      <alignment vertical="center"/>
      <protection hidden="1"/>
    </xf>
    <xf numFmtId="46" fontId="21" fillId="0" borderId="2" xfId="1" applyNumberFormat="1" applyFont="1" applyBorder="1" applyAlignment="1" applyProtection="1">
      <alignment horizontal="center" vertical="center"/>
      <protection hidden="1"/>
    </xf>
    <xf numFmtId="166" fontId="21" fillId="2" borderId="1" xfId="1" applyNumberFormat="1" applyFont="1" applyFill="1" applyBorder="1" applyAlignment="1" applyProtection="1">
      <alignment horizontal="center" vertical="center"/>
      <protection hidden="1"/>
    </xf>
    <xf numFmtId="46" fontId="21" fillId="0" borderId="28" xfId="1" applyNumberFormat="1" applyFont="1" applyBorder="1" applyAlignment="1" applyProtection="1">
      <alignment horizontal="center" vertical="center"/>
      <protection hidden="1"/>
    </xf>
    <xf numFmtId="0" fontId="20" fillId="0" borderId="26" xfId="1" applyFont="1" applyBorder="1" applyAlignment="1" applyProtection="1">
      <alignment vertical="center"/>
      <protection hidden="1"/>
    </xf>
    <xf numFmtId="166" fontId="20" fillId="0" borderId="29" xfId="1" applyNumberFormat="1" applyFont="1" applyFill="1" applyBorder="1" applyAlignment="1" applyProtection="1">
      <alignment horizontal="center" vertical="center"/>
      <protection hidden="1"/>
    </xf>
    <xf numFmtId="46" fontId="21" fillId="0" borderId="30" xfId="1" applyNumberFormat="1" applyFont="1" applyBorder="1" applyAlignment="1" applyProtection="1">
      <alignment horizontal="center" vertical="center"/>
      <protection hidden="1"/>
    </xf>
    <xf numFmtId="46" fontId="21" fillId="2" borderId="1" xfId="1" applyNumberFormat="1" applyFont="1" applyFill="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6" xfId="1" applyFont="1" applyBorder="1" applyAlignment="1" applyProtection="1">
      <alignment vertical="center"/>
      <protection hidden="1"/>
    </xf>
    <xf numFmtId="0" fontId="26" fillId="0" borderId="26" xfId="1" applyFont="1" applyBorder="1" applyAlignment="1" applyProtection="1">
      <alignment vertical="center"/>
      <protection hidden="1"/>
    </xf>
    <xf numFmtId="166" fontId="20" fillId="0" borderId="1" xfId="1" applyNumberFormat="1" applyFont="1" applyBorder="1" applyAlignment="1" applyProtection="1">
      <alignment horizontal="center" vertical="center"/>
      <protection hidden="1"/>
    </xf>
    <xf numFmtId="0" fontId="22" fillId="0" borderId="2" xfId="1" applyFont="1" applyBorder="1" applyAlignment="1" applyProtection="1">
      <alignment horizontal="right" vertical="center"/>
      <protection hidden="1"/>
    </xf>
    <xf numFmtId="0" fontId="4" fillId="0" borderId="3" xfId="1" applyFont="1" applyBorder="1" applyAlignment="1" applyProtection="1">
      <alignment vertical="center"/>
      <protection hidden="1"/>
    </xf>
    <xf numFmtId="0" fontId="4" fillId="0" borderId="32" xfId="1" applyFont="1" applyBorder="1" applyAlignment="1" applyProtection="1">
      <alignment vertical="center"/>
      <protection hidden="1"/>
    </xf>
    <xf numFmtId="0" fontId="4" fillId="0" borderId="30" xfId="1" applyFont="1" applyBorder="1" applyAlignment="1" applyProtection="1">
      <alignment horizontal="center" vertical="center"/>
      <protection hidden="1"/>
    </xf>
    <xf numFmtId="0" fontId="4" fillId="0" borderId="1" xfId="1" applyFont="1" applyBorder="1" applyAlignment="1" applyProtection="1">
      <alignment horizontal="center" vertical="center"/>
      <protection hidden="1"/>
    </xf>
    <xf numFmtId="0" fontId="4" fillId="0" borderId="27" xfId="1" applyFont="1" applyBorder="1" applyAlignment="1" applyProtection="1">
      <alignment vertical="center"/>
      <protection hidden="1"/>
    </xf>
    <xf numFmtId="46" fontId="4" fillId="2" borderId="1" xfId="1" applyNumberFormat="1" applyFont="1" applyFill="1" applyBorder="1" applyAlignment="1" applyProtection="1">
      <alignment horizontal="center" vertical="center"/>
      <protection hidden="1"/>
    </xf>
    <xf numFmtId="168" fontId="20" fillId="0" borderId="1" xfId="1" applyNumberFormat="1" applyFont="1" applyFill="1" applyBorder="1" applyAlignment="1" applyProtection="1">
      <alignment horizontal="center" vertical="center"/>
      <protection hidden="1"/>
    </xf>
    <xf numFmtId="0" fontId="16" fillId="0" borderId="0" xfId="1" applyAlignment="1" applyProtection="1">
      <alignment horizontal="center" vertical="center"/>
      <protection hidden="1"/>
    </xf>
    <xf numFmtId="0" fontId="16" fillId="0" borderId="0" xfId="1" applyAlignment="1" applyProtection="1">
      <alignment horizontal="center"/>
      <protection hidden="1"/>
    </xf>
    <xf numFmtId="9" fontId="20" fillId="3" borderId="1" xfId="1" applyNumberFormat="1" applyFont="1" applyFill="1" applyBorder="1" applyAlignment="1" applyProtection="1">
      <alignment horizontal="center" vertical="center" wrapText="1"/>
      <protection locked="0"/>
    </xf>
    <xf numFmtId="20" fontId="10" fillId="0" borderId="3" xfId="0" applyNumberFormat="1" applyFont="1" applyFill="1" applyBorder="1" applyAlignment="1" applyProtection="1">
      <alignment horizontal="center" vertical="center"/>
      <protection hidden="1"/>
    </xf>
    <xf numFmtId="166" fontId="0" fillId="0" borderId="15" xfId="0" applyNumberFormat="1" applyFill="1" applyBorder="1" applyAlignment="1" applyProtection="1">
      <alignment horizontal="center" vertical="center"/>
      <protection hidden="1"/>
    </xf>
    <xf numFmtId="166" fontId="0" fillId="0" borderId="33" xfId="0" applyNumberFormat="1" applyFill="1" applyBorder="1" applyAlignment="1" applyProtection="1">
      <alignment horizontal="center" vertical="center"/>
      <protection hidden="1"/>
    </xf>
    <xf numFmtId="166" fontId="0" fillId="3" borderId="33" xfId="0" applyNumberFormat="1" applyFill="1" applyBorder="1" applyAlignment="1" applyProtection="1">
      <alignment horizontal="center" vertical="center"/>
      <protection hidden="1"/>
    </xf>
    <xf numFmtId="0" fontId="0" fillId="0" borderId="15" xfId="0" applyBorder="1" applyAlignment="1" applyProtection="1">
      <protection hidden="1"/>
    </xf>
    <xf numFmtId="49" fontId="11" fillId="0" borderId="12" xfId="0" applyNumberFormat="1" applyFont="1" applyBorder="1" applyAlignment="1" applyProtection="1">
      <alignment horizontal="left"/>
      <protection hidden="1"/>
    </xf>
    <xf numFmtId="166" fontId="0" fillId="3" borderId="14" xfId="0" applyNumberFormat="1" applyFill="1" applyBorder="1" applyAlignment="1" applyProtection="1">
      <alignment horizontal="center" vertical="center"/>
      <protection hidden="1"/>
    </xf>
    <xf numFmtId="166" fontId="33" fillId="3" borderId="4" xfId="0" applyNumberFormat="1" applyFont="1" applyFill="1" applyBorder="1" applyAlignment="1" applyProtection="1">
      <alignment horizontal="right"/>
      <protection hidden="1"/>
    </xf>
    <xf numFmtId="166" fontId="4" fillId="3" borderId="5" xfId="0" applyNumberFormat="1" applyFont="1" applyFill="1" applyBorder="1" applyAlignment="1" applyProtection="1">
      <alignment horizontal="left"/>
      <protection hidden="1"/>
    </xf>
    <xf numFmtId="166" fontId="33" fillId="0" borderId="6" xfId="0" applyNumberFormat="1" applyFont="1" applyFill="1" applyBorder="1" applyAlignment="1" applyProtection="1">
      <alignment horizontal="right"/>
      <protection hidden="1"/>
    </xf>
    <xf numFmtId="166" fontId="4" fillId="0" borderId="7" xfId="0" applyNumberFormat="1" applyFont="1" applyFill="1" applyBorder="1" applyAlignment="1" applyProtection="1">
      <alignment horizontal="left"/>
      <protection hidden="1"/>
    </xf>
    <xf numFmtId="0" fontId="12" fillId="0" borderId="15" xfId="0" applyFont="1" applyFill="1" applyBorder="1" applyAlignment="1" applyProtection="1">
      <alignment horizontal="center" vertical="center"/>
      <protection hidden="1"/>
    </xf>
    <xf numFmtId="166" fontId="33" fillId="3" borderId="6" xfId="0" applyNumberFormat="1" applyFont="1" applyFill="1" applyBorder="1" applyAlignment="1" applyProtection="1">
      <alignment horizontal="right"/>
      <protection hidden="1"/>
    </xf>
    <xf numFmtId="166" fontId="4" fillId="3" borderId="7" xfId="0" applyNumberFormat="1" applyFont="1" applyFill="1" applyBorder="1" applyAlignment="1" applyProtection="1">
      <alignment horizontal="left"/>
      <protection hidden="1"/>
    </xf>
    <xf numFmtId="166" fontId="37" fillId="3" borderId="6" xfId="0" applyNumberFormat="1" applyFont="1" applyFill="1" applyBorder="1" applyAlignment="1" applyProtection="1">
      <alignment horizontal="right"/>
      <protection hidden="1"/>
    </xf>
    <xf numFmtId="166" fontId="34" fillId="5" borderId="6" xfId="0" applyNumberFormat="1" applyFont="1" applyFill="1" applyBorder="1" applyAlignment="1" applyProtection="1">
      <alignment horizontal="right"/>
      <protection hidden="1"/>
    </xf>
    <xf numFmtId="166" fontId="13" fillId="5" borderId="7" xfId="0" applyNumberFormat="1" applyFont="1" applyFill="1" applyBorder="1" applyAlignment="1" applyProtection="1">
      <alignment horizontal="left"/>
      <protection hidden="1"/>
    </xf>
    <xf numFmtId="166" fontId="27" fillId="0" borderId="34" xfId="1" applyNumberFormat="1" applyFont="1" applyBorder="1" applyAlignment="1" applyProtection="1">
      <alignment horizontal="center" vertical="center"/>
      <protection hidden="1"/>
    </xf>
    <xf numFmtId="20" fontId="10" fillId="2" borderId="3" xfId="0" applyNumberFormat="1" applyFont="1" applyFill="1" applyBorder="1" applyAlignment="1" applyProtection="1">
      <alignment horizontal="center" vertical="center"/>
      <protection hidden="1"/>
    </xf>
    <xf numFmtId="166" fontId="0" fillId="0" borderId="15" xfId="0" applyNumberFormat="1" applyFill="1" applyBorder="1" applyAlignment="1" applyProtection="1">
      <alignment horizontal="center" vertical="center" wrapText="1"/>
      <protection hidden="1"/>
    </xf>
    <xf numFmtId="20" fontId="10" fillId="0" borderId="3" xfId="0" applyNumberFormat="1" applyFont="1" applyBorder="1" applyAlignment="1" applyProtection="1">
      <alignment horizontal="center"/>
      <protection hidden="1"/>
    </xf>
    <xf numFmtId="165" fontId="10" fillId="0" borderId="3" xfId="0" applyNumberFormat="1" applyFont="1" applyFill="1" applyBorder="1" applyAlignment="1" applyProtection="1">
      <alignment horizontal="center" vertical="center"/>
      <protection locked="0"/>
    </xf>
    <xf numFmtId="0" fontId="0" fillId="0" borderId="0" xfId="0" applyProtection="1">
      <protection locked="0"/>
    </xf>
    <xf numFmtId="0" fontId="30" fillId="5" borderId="0" xfId="0" applyFont="1" applyFill="1" applyProtection="1">
      <protection locked="0"/>
    </xf>
    <xf numFmtId="20" fontId="2" fillId="0" borderId="0" xfId="0" applyNumberFormat="1" applyFont="1" applyBorder="1" applyAlignment="1" applyProtection="1">
      <alignment horizontal="center"/>
      <protection locked="0"/>
    </xf>
    <xf numFmtId="0" fontId="16" fillId="0" borderId="0" xfId="0" applyFont="1" applyProtection="1">
      <protection locked="0"/>
    </xf>
    <xf numFmtId="20" fontId="11" fillId="5" borderId="3" xfId="0" applyNumberFormat="1" applyFont="1" applyFill="1" applyBorder="1" applyAlignment="1" applyProtection="1">
      <alignment horizontal="left" vertical="center"/>
      <protection hidden="1"/>
    </xf>
    <xf numFmtId="20" fontId="11" fillId="5" borderId="6" xfId="0" applyNumberFormat="1" applyFont="1" applyFill="1" applyBorder="1" applyAlignment="1" applyProtection="1">
      <alignment horizontal="left" vertical="center"/>
      <protection hidden="1"/>
    </xf>
    <xf numFmtId="49" fontId="25" fillId="3" borderId="25" xfId="1" applyNumberFormat="1" applyFont="1" applyFill="1" applyBorder="1" applyAlignment="1" applyProtection="1">
      <alignment horizontal="center" vertical="center"/>
      <protection locked="0"/>
    </xf>
    <xf numFmtId="168" fontId="20" fillId="0" borderId="29" xfId="1" applyNumberFormat="1" applyFont="1" applyFill="1" applyBorder="1" applyAlignment="1" applyProtection="1">
      <alignment horizontal="center" vertical="center"/>
      <protection locked="0"/>
    </xf>
    <xf numFmtId="0" fontId="25" fillId="3" borderId="25" xfId="0" applyNumberFormat="1" applyFont="1" applyFill="1" applyBorder="1" applyAlignment="1" applyProtection="1">
      <alignment horizontal="center" vertical="center"/>
      <protection locked="0"/>
    </xf>
    <xf numFmtId="0" fontId="0" fillId="0" borderId="36" xfId="0" applyBorder="1" applyProtection="1">
      <protection hidden="1"/>
    </xf>
    <xf numFmtId="49" fontId="11" fillId="0" borderId="0" xfId="0" applyNumberFormat="1" applyFont="1" applyBorder="1" applyAlignment="1" applyProtection="1">
      <alignment horizontal="left"/>
      <protection hidden="1"/>
    </xf>
    <xf numFmtId="0" fontId="0" fillId="3" borderId="14" xfId="0" applyFill="1" applyBorder="1" applyAlignment="1" applyProtection="1">
      <alignment horizontal="center" vertical="center"/>
      <protection hidden="1"/>
    </xf>
    <xf numFmtId="20" fontId="11" fillId="3" borderId="0" xfId="0" applyNumberFormat="1" applyFont="1" applyFill="1" applyBorder="1" applyAlignment="1" applyProtection="1">
      <alignment horizontal="left" vertical="center"/>
      <protection locked="0"/>
    </xf>
    <xf numFmtId="20" fontId="11" fillId="3" borderId="0" xfId="0" applyNumberFormat="1" applyFont="1" applyFill="1" applyBorder="1" applyAlignment="1" applyProtection="1">
      <alignment horizontal="left" vertical="center"/>
      <protection hidden="1"/>
    </xf>
    <xf numFmtId="166" fontId="33" fillId="3" borderId="8" xfId="0" applyNumberFormat="1" applyFont="1" applyFill="1" applyBorder="1" applyAlignment="1" applyProtection="1">
      <alignment horizontal="right" vertical="center"/>
      <protection hidden="1"/>
    </xf>
    <xf numFmtId="166" fontId="4" fillId="3" borderId="9" xfId="0" applyNumberFormat="1" applyFont="1" applyFill="1" applyBorder="1" applyAlignment="1" applyProtection="1">
      <alignment horizontal="left" vertical="center"/>
      <protection hidden="1"/>
    </xf>
    <xf numFmtId="166" fontId="10" fillId="0" borderId="7" xfId="0" applyNumberFormat="1" applyFont="1" applyFill="1" applyBorder="1" applyAlignment="1" applyProtection="1">
      <alignment horizontal="center"/>
      <protection hidden="1"/>
    </xf>
    <xf numFmtId="20" fontId="35" fillId="0" borderId="0" xfId="0" applyNumberFormat="1" applyFont="1" applyAlignment="1" applyProtection="1">
      <alignment horizontal="center"/>
      <protection locked="0"/>
    </xf>
    <xf numFmtId="0" fontId="2" fillId="0" borderId="0" xfId="0" applyFont="1" applyBorder="1" applyAlignment="1" applyProtection="1">
      <alignment vertical="center" wrapText="1"/>
      <protection hidden="1"/>
    </xf>
    <xf numFmtId="20" fontId="42" fillId="3" borderId="3" xfId="0" applyNumberFormat="1" applyFont="1" applyFill="1" applyBorder="1" applyAlignment="1" applyProtection="1">
      <alignment horizontal="center" vertical="center"/>
      <protection locked="0"/>
    </xf>
    <xf numFmtId="166" fontId="42" fillId="3" borderId="3" xfId="0" applyNumberFormat="1" applyFont="1" applyFill="1" applyBorder="1" applyAlignment="1" applyProtection="1">
      <alignment horizontal="center" vertical="center"/>
      <protection hidden="1"/>
    </xf>
    <xf numFmtId="166" fontId="44" fillId="3" borderId="6" xfId="0" applyNumberFormat="1" applyFont="1" applyFill="1" applyBorder="1" applyAlignment="1" applyProtection="1">
      <alignment horizontal="right" vertical="center"/>
      <protection hidden="1"/>
    </xf>
    <xf numFmtId="166" fontId="45" fillId="3" borderId="7" xfId="0" applyNumberFormat="1" applyFont="1" applyFill="1" applyBorder="1" applyAlignment="1" applyProtection="1">
      <alignment horizontal="left" vertical="center"/>
      <protection hidden="1"/>
    </xf>
    <xf numFmtId="0" fontId="43" fillId="3" borderId="3" xfId="0" applyFont="1" applyFill="1" applyBorder="1" applyAlignment="1" applyProtection="1">
      <alignment horizontal="center" vertical="center"/>
      <protection locked="0"/>
    </xf>
    <xf numFmtId="20" fontId="42" fillId="3" borderId="3" xfId="0" applyNumberFormat="1" applyFont="1" applyFill="1" applyBorder="1" applyAlignment="1" applyProtection="1">
      <alignment horizontal="center" vertical="center"/>
      <protection hidden="1"/>
    </xf>
    <xf numFmtId="166" fontId="10" fillId="0" borderId="7" xfId="0" applyNumberFormat="1" applyFont="1" applyFill="1" applyBorder="1" applyAlignment="1" applyProtection="1">
      <alignment horizontal="center" vertical="center"/>
      <protection hidden="1"/>
    </xf>
    <xf numFmtId="0" fontId="0" fillId="3" borderId="15" xfId="0" applyFill="1" applyBorder="1" applyAlignment="1" applyProtection="1">
      <alignment horizontal="center" vertical="center"/>
      <protection hidden="1"/>
    </xf>
    <xf numFmtId="166" fontId="42" fillId="3" borderId="64" xfId="0" applyNumberFormat="1" applyFont="1" applyFill="1" applyBorder="1" applyAlignment="1" applyProtection="1">
      <alignment horizontal="center" vertical="center"/>
      <protection hidden="1"/>
    </xf>
    <xf numFmtId="166" fontId="42" fillId="3" borderId="7" xfId="0" applyNumberFormat="1" applyFont="1" applyFill="1" applyBorder="1" applyAlignment="1" applyProtection="1">
      <alignment horizontal="center" vertical="center"/>
      <protection hidden="1"/>
    </xf>
    <xf numFmtId="0" fontId="20" fillId="0" borderId="23" xfId="1" applyFont="1" applyBorder="1" applyAlignment="1" applyProtection="1">
      <alignment vertical="center"/>
      <protection hidden="1"/>
    </xf>
    <xf numFmtId="0" fontId="16" fillId="0" borderId="65" xfId="1" applyFont="1" applyBorder="1" applyAlignment="1" applyProtection="1">
      <alignment vertical="center"/>
      <protection hidden="1"/>
    </xf>
    <xf numFmtId="0" fontId="48" fillId="3" borderId="3" xfId="0" applyFont="1" applyFill="1" applyBorder="1" applyAlignment="1" applyProtection="1">
      <alignment horizontal="left"/>
      <protection hidden="1"/>
    </xf>
    <xf numFmtId="0" fontId="48" fillId="3" borderId="0" xfId="0" applyFont="1" applyFill="1" applyAlignment="1" applyProtection="1">
      <alignment horizontal="left"/>
      <protection hidden="1"/>
    </xf>
    <xf numFmtId="0" fontId="9" fillId="3" borderId="3" xfId="0" applyFont="1" applyFill="1" applyBorder="1" applyAlignment="1" applyProtection="1">
      <alignment horizontal="center" vertical="center"/>
      <protection hidden="1"/>
    </xf>
    <xf numFmtId="0" fontId="0" fillId="3" borderId="0" xfId="0" applyFill="1" applyAlignment="1" applyProtection="1">
      <alignment horizontal="left"/>
      <protection hidden="1"/>
    </xf>
    <xf numFmtId="0" fontId="0" fillId="3" borderId="0" xfId="0" applyFill="1" applyAlignment="1" applyProtection="1">
      <alignment horizontal="left" vertical="center"/>
      <protection hidden="1"/>
    </xf>
    <xf numFmtId="20" fontId="47" fillId="3" borderId="3" xfId="0" applyNumberFormat="1" applyFont="1" applyFill="1" applyBorder="1" applyAlignment="1" applyProtection="1">
      <alignment horizontal="left" vertical="center"/>
      <protection hidden="1"/>
    </xf>
    <xf numFmtId="166" fontId="46" fillId="3" borderId="7" xfId="0" applyNumberFormat="1" applyFont="1" applyFill="1" applyBorder="1" applyAlignment="1" applyProtection="1">
      <alignment horizontal="center"/>
      <protection hidden="1"/>
    </xf>
    <xf numFmtId="166" fontId="46" fillId="3" borderId="3" xfId="0" applyNumberFormat="1" applyFont="1" applyFill="1" applyBorder="1" applyAlignment="1" applyProtection="1">
      <alignment horizontal="center" vertical="center"/>
      <protection hidden="1"/>
    </xf>
    <xf numFmtId="166" fontId="46" fillId="3" borderId="7" xfId="0" applyNumberFormat="1" applyFont="1" applyFill="1" applyBorder="1" applyAlignment="1" applyProtection="1">
      <alignment horizontal="center" vertical="center"/>
      <protection hidden="1"/>
    </xf>
    <xf numFmtId="20" fontId="47" fillId="3" borderId="23" xfId="0" applyNumberFormat="1" applyFont="1" applyFill="1" applyBorder="1" applyAlignment="1" applyProtection="1">
      <alignment horizontal="left" vertical="center"/>
      <protection hidden="1"/>
    </xf>
    <xf numFmtId="0" fontId="0" fillId="3" borderId="15" xfId="0" applyFill="1" applyBorder="1" applyAlignment="1" applyProtection="1">
      <alignment horizontal="center" vertical="center"/>
      <protection hidden="1"/>
    </xf>
    <xf numFmtId="166" fontId="0" fillId="0" borderId="15" xfId="0" applyNumberFormat="1" applyFill="1" applyBorder="1" applyAlignment="1" applyProtection="1">
      <alignment horizontal="center" vertical="center"/>
      <protection hidden="1"/>
    </xf>
    <xf numFmtId="166" fontId="0" fillId="3" borderId="15" xfId="0" applyNumberFormat="1" applyFill="1" applyBorder="1" applyAlignment="1" applyProtection="1">
      <alignment horizontal="center" vertical="center"/>
      <protection hidden="1"/>
    </xf>
    <xf numFmtId="20" fontId="30" fillId="5" borderId="12" xfId="0" applyNumberFormat="1" applyFont="1" applyFill="1" applyBorder="1" applyAlignment="1" applyProtection="1">
      <alignment horizontal="left" vertical="center"/>
      <protection hidden="1"/>
    </xf>
    <xf numFmtId="0" fontId="30" fillId="5" borderId="12" xfId="0" applyFont="1" applyFill="1" applyBorder="1" applyAlignment="1" applyProtection="1">
      <alignment horizontal="center"/>
      <protection hidden="1"/>
    </xf>
    <xf numFmtId="20" fontId="11" fillId="5" borderId="12" xfId="0" applyNumberFormat="1" applyFont="1" applyFill="1" applyBorder="1" applyAlignment="1" applyProtection="1">
      <alignment horizontal="left" vertical="center"/>
      <protection hidden="1"/>
    </xf>
    <xf numFmtId="0" fontId="0" fillId="0" borderId="0" xfId="0" applyFill="1" applyProtection="1">
      <protection hidden="1"/>
    </xf>
    <xf numFmtId="20" fontId="11" fillId="5" borderId="3" xfId="0" applyNumberFormat="1" applyFont="1" applyFill="1" applyBorder="1" applyAlignment="1" applyProtection="1">
      <alignment horizontal="center"/>
      <protection locked="0"/>
    </xf>
    <xf numFmtId="20" fontId="11" fillId="5" borderId="6" xfId="0" applyNumberFormat="1" applyFont="1" applyFill="1" applyBorder="1" applyAlignment="1" applyProtection="1">
      <alignment horizontal="center" vertical="center"/>
      <protection locked="0"/>
    </xf>
    <xf numFmtId="20" fontId="11" fillId="5" borderId="3" xfId="0" applyNumberFormat="1" applyFont="1" applyFill="1" applyBorder="1" applyAlignment="1" applyProtection="1">
      <alignment horizontal="center" vertical="center"/>
      <protection locked="0"/>
    </xf>
    <xf numFmtId="20" fontId="11" fillId="0" borderId="6" xfId="0" applyNumberFormat="1" applyFont="1" applyFill="1" applyBorder="1" applyAlignment="1" applyProtection="1">
      <alignment horizontal="center" vertical="center"/>
      <protection locked="0"/>
    </xf>
    <xf numFmtId="20" fontId="11" fillId="0" borderId="3" xfId="0" applyNumberFormat="1" applyFont="1" applyFill="1" applyBorder="1" applyAlignment="1" applyProtection="1">
      <alignment horizontal="center" vertical="center"/>
      <protection locked="0"/>
    </xf>
    <xf numFmtId="20" fontId="6" fillId="0" borderId="0" xfId="0" applyNumberFormat="1" applyFont="1" applyBorder="1" applyAlignment="1" applyProtection="1">
      <alignment horizontal="center"/>
      <protection hidden="1"/>
    </xf>
    <xf numFmtId="0" fontId="6" fillId="0" borderId="0" xfId="0" applyFont="1" applyAlignment="1" applyProtection="1">
      <alignment vertical="center"/>
      <protection hidden="1"/>
    </xf>
    <xf numFmtId="0" fontId="6" fillId="0" borderId="0" xfId="0" applyFont="1" applyAlignment="1" applyProtection="1">
      <alignment horizontal="right" vertical="center"/>
      <protection hidden="1"/>
    </xf>
    <xf numFmtId="0" fontId="0" fillId="0" borderId="0" xfId="0" applyAlignment="1" applyProtection="1">
      <alignment vertical="center"/>
      <protection locked="0"/>
    </xf>
    <xf numFmtId="0" fontId="2" fillId="0" borderId="0" xfId="0" applyFont="1" applyBorder="1" applyProtection="1">
      <protection locked="0"/>
    </xf>
    <xf numFmtId="166" fontId="0" fillId="0" borderId="0" xfId="0" applyNumberFormat="1" applyAlignment="1" applyProtection="1">
      <alignment horizontal="right" vertical="center"/>
      <protection locked="0"/>
    </xf>
    <xf numFmtId="0" fontId="0" fillId="0" borderId="0" xfId="0" applyAlignment="1" applyProtection="1">
      <alignment horizontal="left"/>
      <protection locked="0"/>
    </xf>
    <xf numFmtId="166" fontId="0" fillId="0" borderId="0" xfId="0" applyNumberFormat="1" applyAlignment="1" applyProtection="1">
      <alignment horizontal="center" vertical="center"/>
      <protection locked="0"/>
    </xf>
    <xf numFmtId="0" fontId="36" fillId="0" borderId="0" xfId="0" applyFont="1" applyProtection="1">
      <protection locked="0"/>
    </xf>
    <xf numFmtId="0" fontId="36" fillId="0" borderId="0" xfId="0" applyFont="1" applyFill="1" applyProtection="1">
      <protection locked="0"/>
    </xf>
    <xf numFmtId="0" fontId="4" fillId="0" borderId="27" xfId="1" applyFont="1" applyBorder="1" applyAlignment="1" applyProtection="1">
      <alignment vertical="center"/>
      <protection locked="0"/>
    </xf>
    <xf numFmtId="0" fontId="50" fillId="0" borderId="0" xfId="1" applyFont="1" applyAlignment="1" applyProtection="1">
      <alignment horizontal="center"/>
      <protection hidden="1"/>
    </xf>
    <xf numFmtId="2" fontId="51" fillId="0" borderId="0" xfId="1" applyNumberFormat="1" applyFont="1" applyAlignment="1" applyProtection="1">
      <alignment horizontal="center" vertical="center"/>
      <protection hidden="1"/>
    </xf>
    <xf numFmtId="0" fontId="50" fillId="0" borderId="0" xfId="1" applyFont="1" applyAlignment="1" applyProtection="1">
      <alignment horizontal="center" vertical="center"/>
      <protection hidden="1"/>
    </xf>
    <xf numFmtId="166" fontId="4" fillId="5" borderId="1" xfId="1" applyNumberFormat="1" applyFont="1" applyFill="1" applyBorder="1" applyAlignment="1" applyProtection="1">
      <alignment horizontal="center" vertical="center"/>
      <protection hidden="1"/>
    </xf>
    <xf numFmtId="166" fontId="0" fillId="0" borderId="15" xfId="0" applyNumberFormat="1" applyFill="1" applyBorder="1" applyAlignment="1" applyProtection="1">
      <alignment horizontal="center" vertical="center"/>
      <protection hidden="1"/>
    </xf>
    <xf numFmtId="0" fontId="4" fillId="0" borderId="31" xfId="1" applyFont="1" applyBorder="1" applyAlignment="1" applyProtection="1">
      <alignment horizontal="center" vertical="center"/>
      <protection hidden="1"/>
    </xf>
    <xf numFmtId="166" fontId="4" fillId="0" borderId="31" xfId="1" applyNumberFormat="1" applyFont="1" applyBorder="1" applyAlignment="1" applyProtection="1">
      <alignment vertical="center"/>
      <protection hidden="1"/>
    </xf>
    <xf numFmtId="0" fontId="4" fillId="0" borderId="0" xfId="0" applyFont="1" applyAlignment="1" applyProtection="1">
      <alignment horizontal="left"/>
      <protection locked="0"/>
    </xf>
    <xf numFmtId="0" fontId="16" fillId="0" borderId="0" xfId="0" applyFont="1" applyAlignment="1" applyProtection="1">
      <alignment horizontal="left"/>
      <protection locked="0"/>
    </xf>
    <xf numFmtId="0" fontId="4" fillId="0" borderId="0" xfId="0" applyFont="1" applyFill="1" applyAlignment="1" applyProtection="1">
      <alignment horizontal="left"/>
      <protection locked="0"/>
    </xf>
    <xf numFmtId="0" fontId="30" fillId="5" borderId="0" xfId="0" applyFont="1" applyFill="1" applyAlignment="1" applyProtection="1">
      <alignment horizontal="left"/>
      <protection locked="0"/>
    </xf>
    <xf numFmtId="49" fontId="6" fillId="0" borderId="0" xfId="0" applyNumberFormat="1" applyFont="1" applyBorder="1" applyProtection="1">
      <protection hidden="1"/>
    </xf>
    <xf numFmtId="49" fontId="6" fillId="0" borderId="0" xfId="0" applyNumberFormat="1" applyFont="1" applyBorder="1" applyAlignment="1" applyProtection="1">
      <alignment vertical="center"/>
      <protection hidden="1"/>
    </xf>
    <xf numFmtId="0" fontId="53" fillId="0" borderId="0" xfId="0" applyNumberFormat="1" applyFont="1" applyBorder="1" applyProtection="1">
      <protection hidden="1"/>
    </xf>
    <xf numFmtId="0" fontId="53" fillId="0" borderId="0" xfId="0" applyNumberFormat="1" applyFont="1" applyProtection="1">
      <protection hidden="1"/>
    </xf>
    <xf numFmtId="0" fontId="53" fillId="0" borderId="0" xfId="0" applyNumberFormat="1" applyFont="1" applyAlignment="1" applyProtection="1">
      <alignment horizontal="left" vertical="center"/>
      <protection hidden="1"/>
    </xf>
    <xf numFmtId="0" fontId="2" fillId="0" borderId="0" xfId="0" applyFont="1" applyFill="1" applyBorder="1" applyAlignment="1" applyProtection="1">
      <alignment horizontal="left"/>
      <protection hidden="1"/>
    </xf>
    <xf numFmtId="0" fontId="2" fillId="0" borderId="0" xfId="0" applyFont="1" applyFill="1" applyBorder="1" applyProtection="1">
      <protection hidden="1"/>
    </xf>
    <xf numFmtId="0" fontId="0" fillId="0" borderId="0" xfId="0" applyFill="1" applyAlignment="1" applyProtection="1">
      <alignment horizontal="left"/>
      <protection hidden="1"/>
    </xf>
    <xf numFmtId="0" fontId="54" fillId="0" borderId="0" xfId="0" applyFont="1" applyProtection="1">
      <protection hidden="1"/>
    </xf>
    <xf numFmtId="0" fontId="54" fillId="0" borderId="0" xfId="0" applyFont="1" applyAlignment="1" applyProtection="1">
      <alignment horizontal="right" vertical="center"/>
      <protection hidden="1"/>
    </xf>
    <xf numFmtId="0" fontId="54" fillId="0" borderId="0" xfId="0" applyNumberFormat="1" applyFont="1" applyBorder="1" applyAlignment="1" applyProtection="1">
      <alignment horizontal="left"/>
      <protection hidden="1"/>
    </xf>
    <xf numFmtId="20" fontId="54" fillId="0" borderId="0" xfId="0" applyNumberFormat="1" applyFont="1" applyBorder="1" applyAlignment="1" applyProtection="1">
      <alignment horizontal="center"/>
      <protection hidden="1"/>
    </xf>
    <xf numFmtId="0" fontId="54" fillId="0" borderId="0" xfId="0" applyFont="1" applyAlignment="1" applyProtection="1">
      <alignment horizontal="left" vertical="center"/>
      <protection hidden="1"/>
    </xf>
    <xf numFmtId="166" fontId="52" fillId="0" borderId="66" xfId="1" applyNumberFormat="1" applyFont="1" applyBorder="1" applyAlignment="1" applyProtection="1">
      <alignment vertical="center"/>
      <protection hidden="1"/>
    </xf>
    <xf numFmtId="166" fontId="52" fillId="0" borderId="67" xfId="1" applyNumberFormat="1" applyFont="1" applyBorder="1" applyAlignment="1" applyProtection="1">
      <alignment vertical="center"/>
      <protection hidden="1"/>
    </xf>
    <xf numFmtId="166" fontId="52" fillId="0" borderId="31" xfId="1" applyNumberFormat="1" applyFont="1" applyBorder="1" applyAlignment="1" applyProtection="1">
      <alignment vertical="center"/>
      <protection hidden="1"/>
    </xf>
    <xf numFmtId="0" fontId="55" fillId="0" borderId="0" xfId="0" applyFont="1" applyFill="1" applyProtection="1">
      <protection hidden="1"/>
    </xf>
    <xf numFmtId="0" fontId="55" fillId="0" borderId="0" xfId="0" applyFont="1" applyFill="1" applyBorder="1" applyAlignment="1" applyProtection="1">
      <alignment horizontal="right" vertical="top"/>
      <protection hidden="1"/>
    </xf>
    <xf numFmtId="0" fontId="52" fillId="0" borderId="0" xfId="0" applyFont="1" applyFill="1" applyBorder="1" applyAlignment="1" applyProtection="1">
      <alignment horizontal="right" vertical="top"/>
      <protection hidden="1"/>
    </xf>
    <xf numFmtId="0" fontId="55" fillId="0" borderId="12" xfId="0" applyFont="1" applyFill="1" applyBorder="1" applyProtection="1">
      <protection hidden="1"/>
    </xf>
    <xf numFmtId="0" fontId="55" fillId="0" borderId="13" xfId="0" applyFont="1" applyFill="1" applyBorder="1" applyAlignment="1" applyProtection="1">
      <alignment horizontal="center"/>
      <protection hidden="1"/>
    </xf>
    <xf numFmtId="0" fontId="52" fillId="0" borderId="13" xfId="0" applyFont="1" applyFill="1" applyBorder="1" applyAlignment="1" applyProtection="1">
      <alignment horizontal="right"/>
      <protection hidden="1"/>
    </xf>
    <xf numFmtId="166" fontId="20" fillId="5" borderId="1" xfId="1" applyNumberFormat="1" applyFont="1" applyFill="1" applyBorder="1" applyAlignment="1" applyProtection="1">
      <alignment horizontal="center" vertical="center"/>
      <protection hidden="1"/>
    </xf>
    <xf numFmtId="166" fontId="49" fillId="0" borderId="2" xfId="1" applyNumberFormat="1" applyFont="1" applyFill="1" applyBorder="1" applyAlignment="1" applyProtection="1">
      <alignment horizontal="center" vertical="center"/>
      <protection hidden="1"/>
    </xf>
    <xf numFmtId="166" fontId="0" fillId="0" borderId="15" xfId="0" applyNumberFormat="1" applyFill="1" applyBorder="1" applyAlignment="1" applyProtection="1">
      <alignment horizontal="center" vertical="center"/>
      <protection hidden="1"/>
    </xf>
    <xf numFmtId="166" fontId="0" fillId="0" borderId="15" xfId="0" applyNumberFormat="1" applyFill="1" applyBorder="1" applyAlignment="1" applyProtection="1">
      <alignment horizontal="center" vertical="center"/>
      <protection hidden="1"/>
    </xf>
    <xf numFmtId="0" fontId="30" fillId="5" borderId="0" xfId="0" applyFont="1" applyFill="1" applyBorder="1" applyProtection="1">
      <protection locked="0"/>
    </xf>
    <xf numFmtId="0" fontId="30" fillId="5" borderId="0" xfId="0" applyFont="1" applyFill="1" applyBorder="1" applyProtection="1">
      <protection hidden="1"/>
    </xf>
    <xf numFmtId="166" fontId="34" fillId="5" borderId="68" xfId="0" applyNumberFormat="1" applyFont="1" applyFill="1" applyBorder="1" applyAlignment="1" applyProtection="1">
      <alignment horizontal="right" vertical="center"/>
      <protection hidden="1"/>
    </xf>
    <xf numFmtId="166" fontId="4" fillId="0" borderId="16" xfId="0" applyNumberFormat="1" applyFont="1" applyFill="1" applyBorder="1" applyAlignment="1" applyProtection="1">
      <alignment horizontal="left"/>
      <protection hidden="1"/>
    </xf>
    <xf numFmtId="166" fontId="13" fillId="5" borderId="69" xfId="0" applyNumberFormat="1" applyFont="1" applyFill="1" applyBorder="1" applyAlignment="1" applyProtection="1">
      <alignment horizontal="left" vertical="center"/>
      <protection hidden="1"/>
    </xf>
    <xf numFmtId="0" fontId="4" fillId="0" borderId="0" xfId="0" applyFont="1" applyBorder="1" applyAlignment="1" applyProtection="1">
      <alignment horizontal="left"/>
      <protection locked="0"/>
    </xf>
    <xf numFmtId="0" fontId="0" fillId="0" borderId="0" xfId="0" applyBorder="1" applyProtection="1">
      <protection locked="0"/>
    </xf>
    <xf numFmtId="49" fontId="15" fillId="0" borderId="0" xfId="1" applyNumberFormat="1" applyFont="1" applyProtection="1">
      <protection hidden="1"/>
    </xf>
    <xf numFmtId="49" fontId="16" fillId="0" borderId="0" xfId="1" applyNumberFormat="1" applyAlignment="1" applyProtection="1">
      <alignment horizontal="center" vertical="center"/>
      <protection hidden="1"/>
    </xf>
    <xf numFmtId="49" fontId="16" fillId="0" borderId="0" xfId="1" applyNumberFormat="1" applyProtection="1">
      <protection hidden="1"/>
    </xf>
    <xf numFmtId="49" fontId="15" fillId="0" borderId="0" xfId="0" applyNumberFormat="1" applyFont="1" applyAlignment="1"/>
    <xf numFmtId="49" fontId="2" fillId="0" borderId="0" xfId="1" quotePrefix="1" applyNumberFormat="1" applyFont="1" applyFill="1" applyBorder="1" applyAlignment="1" applyProtection="1">
      <alignment horizontal="right" vertical="center"/>
      <protection hidden="1"/>
    </xf>
    <xf numFmtId="0" fontId="6" fillId="0" borderId="0" xfId="0" applyFont="1" applyProtection="1">
      <protection locked="0"/>
    </xf>
    <xf numFmtId="0" fontId="6" fillId="0" borderId="0" xfId="0" applyFont="1" applyAlignment="1" applyProtection="1">
      <alignment horizontal="left"/>
      <protection locked="0"/>
    </xf>
    <xf numFmtId="0" fontId="57" fillId="0" borderId="0" xfId="0" applyNumberFormat="1" applyFont="1" applyProtection="1">
      <protection locked="0"/>
    </xf>
    <xf numFmtId="1" fontId="49" fillId="0" borderId="2" xfId="1" applyNumberFormat="1" applyFont="1" applyFill="1" applyBorder="1" applyAlignment="1" applyProtection="1">
      <alignment horizontal="center" vertical="center"/>
      <protection hidden="1"/>
    </xf>
    <xf numFmtId="1" fontId="49" fillId="0" borderId="0" xfId="1" applyNumberFormat="1" applyFont="1" applyAlignment="1" applyProtection="1">
      <alignment horizontal="center" vertical="center"/>
      <protection hidden="1"/>
    </xf>
    <xf numFmtId="0" fontId="30" fillId="5" borderId="7" xfId="0" applyFont="1" applyFill="1" applyBorder="1" applyProtection="1">
      <protection locked="0"/>
    </xf>
    <xf numFmtId="0" fontId="13" fillId="5" borderId="22" xfId="0" applyFont="1" applyFill="1" applyBorder="1" applyAlignment="1" applyProtection="1">
      <alignment horizontal="left"/>
      <protection locked="0"/>
    </xf>
    <xf numFmtId="0" fontId="58" fillId="0" borderId="0" xfId="0" applyNumberFormat="1" applyFont="1" applyAlignment="1" applyProtection="1">
      <alignment horizontal="left"/>
      <protection locked="0"/>
    </xf>
    <xf numFmtId="0" fontId="58" fillId="0" borderId="0" xfId="0" applyFont="1" applyProtection="1">
      <protection hidden="1"/>
    </xf>
    <xf numFmtId="0" fontId="27" fillId="0" borderId="0" xfId="0" applyFont="1" applyBorder="1" applyProtection="1">
      <protection locked="0"/>
    </xf>
    <xf numFmtId="0" fontId="27" fillId="0" borderId="0" xfId="0" applyFont="1" applyProtection="1">
      <protection locked="0"/>
    </xf>
    <xf numFmtId="0" fontId="59" fillId="0" borderId="0" xfId="0" applyNumberFormat="1" applyFont="1" applyAlignment="1" applyProtection="1">
      <alignment horizontal="left"/>
      <protection hidden="1"/>
    </xf>
    <xf numFmtId="0" fontId="58" fillId="0" borderId="0" xfId="0" applyNumberFormat="1" applyFont="1" applyProtection="1">
      <protection hidden="1"/>
    </xf>
    <xf numFmtId="0" fontId="0" fillId="0" borderId="0" xfId="0" applyFill="1" applyProtection="1">
      <protection locked="0"/>
    </xf>
    <xf numFmtId="14" fontId="2" fillId="0" borderId="0" xfId="1" applyNumberFormat="1" applyFont="1" applyFill="1" applyBorder="1" applyAlignment="1" applyProtection="1">
      <alignment horizontal="right"/>
      <protection hidden="1"/>
    </xf>
    <xf numFmtId="20" fontId="10" fillId="0" borderId="3" xfId="0" applyNumberFormat="1" applyFont="1" applyFill="1" applyBorder="1" applyAlignment="1" applyProtection="1">
      <alignment horizontal="center" vertical="center"/>
      <protection locked="0"/>
    </xf>
    <xf numFmtId="0" fontId="6" fillId="0" borderId="0" xfId="0" applyFont="1" applyProtection="1">
      <protection locked="0"/>
    </xf>
    <xf numFmtId="20" fontId="16" fillId="0" borderId="0" xfId="1" applyNumberFormat="1" applyProtection="1">
      <protection hidden="1"/>
    </xf>
    <xf numFmtId="166" fontId="0" fillId="0" borderId="15" xfId="0" applyNumberFormat="1" applyFill="1" applyBorder="1" applyAlignment="1" applyProtection="1">
      <alignment horizontal="center" vertical="center"/>
      <protection hidden="1"/>
    </xf>
    <xf numFmtId="0" fontId="60" fillId="0" borderId="0" xfId="1" applyFont="1" applyAlignment="1" applyProtection="1">
      <alignment horizontal="center"/>
      <protection hidden="1"/>
    </xf>
    <xf numFmtId="49" fontId="1" fillId="0" borderId="0" xfId="1" applyNumberFormat="1" applyFont="1" applyProtection="1">
      <protection hidden="1"/>
    </xf>
    <xf numFmtId="0" fontId="0" fillId="0" borderId="40" xfId="0" applyBorder="1" applyAlignment="1" applyProtection="1">
      <alignment horizontal="center" vertical="center"/>
      <protection hidden="1"/>
    </xf>
    <xf numFmtId="166" fontId="0" fillId="0" borderId="71" xfId="0" applyNumberFormat="1" applyFill="1" applyBorder="1" applyAlignment="1" applyProtection="1">
      <alignment horizontal="center" vertical="center"/>
      <protection hidden="1"/>
    </xf>
    <xf numFmtId="0" fontId="11" fillId="0" borderId="3" xfId="0" applyFont="1" applyBorder="1" applyAlignment="1" applyProtection="1">
      <alignment vertical="center" wrapText="1"/>
      <protection hidden="1"/>
    </xf>
    <xf numFmtId="14" fontId="6" fillId="0" borderId="0" xfId="0" applyNumberFormat="1" applyFont="1" applyBorder="1" applyAlignment="1" applyProtection="1">
      <alignment horizontal="left"/>
      <protection locked="0"/>
    </xf>
    <xf numFmtId="49" fontId="15" fillId="0" borderId="0" xfId="1" applyNumberFormat="1" applyFont="1" applyAlignment="1" applyProtection="1">
      <protection hidden="1"/>
    </xf>
    <xf numFmtId="49" fontId="20" fillId="0" borderId="26" xfId="1" applyNumberFormat="1" applyFont="1" applyBorder="1" applyAlignment="1" applyProtection="1">
      <alignment horizontal="center" vertical="center" wrapText="1"/>
      <protection hidden="1"/>
    </xf>
    <xf numFmtId="49" fontId="20" fillId="0" borderId="31" xfId="1" applyNumberFormat="1" applyFont="1" applyBorder="1" applyAlignment="1" applyProtection="1">
      <alignment horizontal="center" vertical="center"/>
      <protection hidden="1"/>
    </xf>
    <xf numFmtId="0" fontId="4" fillId="0" borderId="26" xfId="1" applyFont="1" applyBorder="1" applyAlignment="1" applyProtection="1">
      <alignment vertical="center" wrapText="1"/>
      <protection hidden="1"/>
    </xf>
    <xf numFmtId="0" fontId="16" fillId="0" borderId="31" xfId="1" applyBorder="1" applyAlignment="1" applyProtection="1">
      <alignment vertical="center" wrapText="1"/>
      <protection hidden="1"/>
    </xf>
    <xf numFmtId="11" fontId="4" fillId="3" borderId="26" xfId="1" applyNumberFormat="1" applyFont="1" applyFill="1" applyBorder="1" applyAlignment="1" applyProtection="1">
      <alignment horizontal="center" vertical="center" wrapText="1"/>
      <protection hidden="1"/>
    </xf>
    <xf numFmtId="11" fontId="16" fillId="3" borderId="37" xfId="1" applyNumberFormat="1" applyFill="1" applyBorder="1" applyAlignment="1" applyProtection="1">
      <alignment horizontal="center" vertical="center"/>
      <protection hidden="1"/>
    </xf>
    <xf numFmtId="11" fontId="16" fillId="3" borderId="29" xfId="1" applyNumberFormat="1" applyFill="1" applyBorder="1" applyAlignment="1" applyProtection="1">
      <alignment horizontal="center" vertical="center"/>
      <protection hidden="1"/>
    </xf>
    <xf numFmtId="0" fontId="20" fillId="3" borderId="34" xfId="1" applyFont="1" applyFill="1" applyBorder="1" applyAlignment="1" applyProtection="1">
      <alignment horizontal="center" vertical="center"/>
      <protection locked="0"/>
    </xf>
    <xf numFmtId="0" fontId="16" fillId="3" borderId="29" xfId="1" applyFill="1" applyBorder="1" applyAlignment="1" applyProtection="1">
      <protection locked="0"/>
    </xf>
    <xf numFmtId="49" fontId="20" fillId="3" borderId="34" xfId="1" applyNumberFormat="1" applyFont="1" applyFill="1" applyBorder="1" applyAlignment="1" applyProtection="1">
      <alignment horizontal="center" vertical="center"/>
      <protection locked="0"/>
    </xf>
    <xf numFmtId="0" fontId="20" fillId="0" borderId="26" xfId="1" applyFont="1" applyBorder="1" applyAlignment="1" applyProtection="1">
      <alignment horizontal="left" vertical="center" wrapText="1"/>
      <protection hidden="1"/>
    </xf>
    <xf numFmtId="0" fontId="16" fillId="0" borderId="37" xfId="1" applyBorder="1" applyAlignment="1" applyProtection="1">
      <protection hidden="1"/>
    </xf>
    <xf numFmtId="0" fontId="20" fillId="0" borderId="43" xfId="1" applyFont="1" applyBorder="1" applyAlignment="1" applyProtection="1">
      <alignment vertical="center" wrapText="1"/>
      <protection hidden="1"/>
    </xf>
    <xf numFmtId="0" fontId="0" fillId="0" borderId="43" xfId="0" applyBorder="1" applyAlignment="1" applyProtection="1">
      <alignment vertical="center"/>
      <protection hidden="1"/>
    </xf>
    <xf numFmtId="0" fontId="16" fillId="0" borderId="46" xfId="0" applyFont="1" applyBorder="1" applyAlignment="1" applyProtection="1">
      <alignment vertical="center"/>
      <protection locked="0"/>
    </xf>
    <xf numFmtId="0" fontId="0" fillId="0" borderId="46" xfId="0" applyBorder="1" applyAlignment="1" applyProtection="1">
      <alignment vertical="center"/>
      <protection locked="0"/>
    </xf>
    <xf numFmtId="0" fontId="16" fillId="0" borderId="47"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169" fontId="3" fillId="0" borderId="47" xfId="0" applyNumberFormat="1" applyFont="1" applyBorder="1" applyAlignment="1" applyProtection="1">
      <alignment horizontal="center" vertical="center"/>
      <protection locked="0" hidden="1"/>
    </xf>
    <xf numFmtId="169" fontId="3" fillId="0" borderId="48" xfId="0" applyNumberFormat="1" applyFont="1" applyBorder="1" applyAlignment="1" applyProtection="1">
      <alignment horizontal="center"/>
      <protection locked="0" hidden="1"/>
    </xf>
    <xf numFmtId="169" fontId="3" fillId="0" borderId="49" xfId="0" applyNumberFormat="1" applyFont="1" applyBorder="1" applyAlignment="1" applyProtection="1">
      <alignment horizontal="center"/>
      <protection locked="0" hidden="1"/>
    </xf>
    <xf numFmtId="169" fontId="3" fillId="0" borderId="50" xfId="0" applyNumberFormat="1" applyFont="1" applyBorder="1" applyAlignment="1" applyProtection="1">
      <alignment horizontal="center"/>
      <protection locked="0" hidden="1"/>
    </xf>
    <xf numFmtId="166" fontId="40" fillId="0" borderId="51" xfId="0" applyNumberFormat="1" applyFont="1" applyBorder="1" applyAlignment="1" applyProtection="1">
      <alignment horizontal="right" vertical="center"/>
      <protection hidden="1"/>
    </xf>
    <xf numFmtId="0" fontId="40" fillId="0" borderId="52" xfId="0" applyFont="1" applyBorder="1" applyAlignment="1" applyProtection="1">
      <alignment horizontal="right" vertical="center"/>
      <protection hidden="1"/>
    </xf>
    <xf numFmtId="166" fontId="4" fillId="0" borderId="53" xfId="0" applyNumberFormat="1" applyFont="1" applyBorder="1" applyAlignment="1" applyProtection="1">
      <alignment horizontal="left" vertical="center"/>
      <protection hidden="1"/>
    </xf>
    <xf numFmtId="166" fontId="4" fillId="0" borderId="54" xfId="0" applyNumberFormat="1" applyFont="1" applyBorder="1" applyAlignment="1" applyProtection="1">
      <alignment horizontal="left" vertical="center"/>
      <protection hidden="1"/>
    </xf>
    <xf numFmtId="0" fontId="6" fillId="0" borderId="0" xfId="0" applyFont="1" applyBorder="1" applyAlignment="1" applyProtection="1">
      <protection hidden="1"/>
    </xf>
    <xf numFmtId="0" fontId="1"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31" fillId="0" borderId="15" xfId="0" applyFont="1" applyBorder="1" applyAlignment="1" applyProtection="1">
      <alignment vertical="center" wrapText="1"/>
      <protection hidden="1"/>
    </xf>
    <xf numFmtId="0" fontId="2" fillId="0" borderId="0" xfId="0" applyFont="1" applyBorder="1" applyAlignment="1" applyProtection="1">
      <alignment horizontal="left"/>
      <protection hidden="1"/>
    </xf>
    <xf numFmtId="166" fontId="39" fillId="0" borderId="43" xfId="0" applyNumberFormat="1" applyFont="1" applyBorder="1" applyAlignment="1" applyProtection="1">
      <alignment horizontal="center" vertical="center"/>
      <protection hidden="1"/>
    </xf>
    <xf numFmtId="166" fontId="38" fillId="0" borderId="44" xfId="0" applyNumberFormat="1" applyFont="1" applyBorder="1" applyAlignment="1" applyProtection="1">
      <alignment horizontal="center" vertical="center"/>
      <protection hidden="1"/>
    </xf>
    <xf numFmtId="166" fontId="11" fillId="0" borderId="43" xfId="0" applyNumberFormat="1" applyFont="1" applyBorder="1" applyAlignment="1" applyProtection="1">
      <alignment horizontal="center" vertical="center"/>
      <protection hidden="1"/>
    </xf>
    <xf numFmtId="166" fontId="14" fillId="0" borderId="44" xfId="0" applyNumberFormat="1" applyFont="1" applyBorder="1" applyAlignment="1" applyProtection="1">
      <alignment horizontal="center" vertical="center"/>
      <protection hidden="1"/>
    </xf>
    <xf numFmtId="166" fontId="0" fillId="0" borderId="56" xfId="0" applyNumberFormat="1" applyFill="1" applyBorder="1" applyAlignment="1" applyProtection="1">
      <alignment horizontal="center" vertical="center"/>
      <protection hidden="1"/>
    </xf>
    <xf numFmtId="166" fontId="0" fillId="0" borderId="20" xfId="0" applyNumberFormat="1" applyFill="1" applyBorder="1" applyAlignment="1" applyProtection="1">
      <alignment horizontal="center" vertical="center"/>
      <protection hidden="1"/>
    </xf>
    <xf numFmtId="166" fontId="0" fillId="0" borderId="57" xfId="0" applyNumberFormat="1" applyFill="1" applyBorder="1" applyAlignment="1" applyProtection="1">
      <alignment horizontal="center" vertical="center"/>
      <protection hidden="1"/>
    </xf>
    <xf numFmtId="166" fontId="0" fillId="0" borderId="58" xfId="0" applyNumberFormat="1" applyFill="1" applyBorder="1" applyAlignment="1" applyProtection="1">
      <alignment horizontal="center" vertical="center"/>
      <protection hidden="1"/>
    </xf>
    <xf numFmtId="0" fontId="1" fillId="0" borderId="45" xfId="0" applyFont="1" applyBorder="1" applyAlignment="1" applyProtection="1">
      <alignment horizontal="left"/>
      <protection hidden="1"/>
    </xf>
    <xf numFmtId="166" fontId="10" fillId="0" borderId="43" xfId="0" applyNumberFormat="1" applyFont="1" applyBorder="1" applyAlignment="1" applyProtection="1">
      <alignment horizontal="center" vertical="center"/>
      <protection hidden="1"/>
    </xf>
    <xf numFmtId="166" fontId="0" fillId="0" borderId="44" xfId="0" applyNumberFormat="1" applyBorder="1" applyAlignment="1" applyProtection="1">
      <alignment horizontal="center" vertical="center"/>
      <protection hidden="1"/>
    </xf>
    <xf numFmtId="166" fontId="0" fillId="3" borderId="56" xfId="0" applyNumberFormat="1" applyFill="1" applyBorder="1" applyAlignment="1" applyProtection="1">
      <alignment horizontal="center" vertical="center"/>
      <protection hidden="1"/>
    </xf>
    <xf numFmtId="166" fontId="0" fillId="3" borderId="20" xfId="0" applyNumberFormat="1" applyFill="1" applyBorder="1" applyAlignment="1" applyProtection="1">
      <alignment horizontal="center" vertical="center"/>
      <protection hidden="1"/>
    </xf>
    <xf numFmtId="20" fontId="0" fillId="3" borderId="56" xfId="0" applyNumberFormat="1" applyFill="1" applyBorder="1" applyAlignment="1" applyProtection="1">
      <alignment horizontal="center" vertical="center"/>
      <protection hidden="1"/>
    </xf>
    <xf numFmtId="20" fontId="0" fillId="3" borderId="20" xfId="0" applyNumberFormat="1" applyFill="1" applyBorder="1" applyAlignment="1" applyProtection="1">
      <alignment horizontal="center" vertical="center"/>
      <protection hidden="1"/>
    </xf>
    <xf numFmtId="0" fontId="0" fillId="0" borderId="0" xfId="0" applyFont="1" applyBorder="1" applyAlignment="1" applyProtection="1">
      <alignment horizontal="right"/>
      <protection hidden="1"/>
    </xf>
    <xf numFmtId="0" fontId="1" fillId="0" borderId="15" xfId="0" applyFont="1" applyBorder="1" applyAlignment="1" applyProtection="1">
      <alignment horizontal="center" vertical="center" wrapText="1"/>
      <protection hidden="1"/>
    </xf>
    <xf numFmtId="0" fontId="2" fillId="0" borderId="0" xfId="0" applyFont="1" applyBorder="1" applyAlignment="1" applyProtection="1">
      <alignment horizontal="right" vertical="top"/>
      <protection hidden="1"/>
    </xf>
    <xf numFmtId="49" fontId="0" fillId="0" borderId="0" xfId="0" applyNumberFormat="1" applyFont="1" applyBorder="1" applyAlignment="1" applyProtection="1">
      <alignment horizontal="center"/>
      <protection hidden="1"/>
    </xf>
    <xf numFmtId="0" fontId="5" fillId="0" borderId="0" xfId="0" applyFont="1" applyBorder="1" applyAlignment="1" applyProtection="1">
      <alignment horizontal="center" vertical="center"/>
      <protection hidden="1"/>
    </xf>
    <xf numFmtId="0" fontId="1" fillId="0" borderId="18"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166" fontId="13" fillId="0" borderId="41" xfId="0" applyNumberFormat="1" applyFont="1" applyBorder="1" applyAlignment="1" applyProtection="1">
      <alignment horizontal="center" vertical="center" wrapText="1"/>
      <protection hidden="1"/>
    </xf>
    <xf numFmtId="166" fontId="38" fillId="0" borderId="42" xfId="0" applyNumberFormat="1" applyFont="1" applyBorder="1" applyAlignment="1" applyProtection="1">
      <alignment horizontal="center" vertical="center" wrapText="1"/>
      <protection hidden="1"/>
    </xf>
    <xf numFmtId="49" fontId="16" fillId="0" borderId="0" xfId="0" applyNumberFormat="1" applyFont="1" applyBorder="1" applyAlignment="1" applyProtection="1">
      <alignment horizontal="center"/>
      <protection hidden="1"/>
    </xf>
    <xf numFmtId="166" fontId="0" fillId="0" borderId="70" xfId="0" applyNumberFormat="1" applyFill="1" applyBorder="1" applyAlignment="1" applyProtection="1">
      <alignment horizontal="center" vertical="center"/>
      <protection hidden="1"/>
    </xf>
    <xf numFmtId="166" fontId="0" fillId="0" borderId="17" xfId="0" applyNumberFormat="1" applyFill="1" applyBorder="1" applyAlignment="1" applyProtection="1">
      <alignment horizontal="center" vertical="center"/>
      <protection hidden="1"/>
    </xf>
    <xf numFmtId="0" fontId="11" fillId="0" borderId="6"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166" fontId="39" fillId="0" borderId="51" xfId="0" applyNumberFormat="1" applyFont="1" applyBorder="1" applyAlignment="1" applyProtection="1">
      <alignment horizontal="center" vertical="center"/>
      <protection locked="0"/>
    </xf>
    <xf numFmtId="166" fontId="38" fillId="0" borderId="62" xfId="0" applyNumberFormat="1" applyFont="1" applyBorder="1" applyAlignment="1" applyProtection="1">
      <alignment horizontal="center" vertical="center"/>
      <protection locked="0"/>
    </xf>
    <xf numFmtId="166" fontId="39" fillId="0" borderId="36" xfId="0" applyNumberFormat="1" applyFont="1" applyBorder="1" applyAlignment="1" applyProtection="1">
      <alignment horizontal="center" vertical="center"/>
      <protection locked="0"/>
    </xf>
    <xf numFmtId="166" fontId="38" fillId="0" borderId="0"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left"/>
      <protection hidden="1"/>
    </xf>
    <xf numFmtId="49" fontId="0" fillId="0" borderId="0" xfId="0" applyNumberFormat="1" applyFont="1" applyBorder="1" applyAlignment="1" applyProtection="1">
      <alignment horizontal="left"/>
      <protection hidden="1"/>
    </xf>
    <xf numFmtId="0" fontId="1" fillId="0" borderId="14" xfId="0" applyFont="1" applyBorder="1" applyAlignment="1" applyProtection="1">
      <alignment horizontal="center" vertical="center" wrapText="1"/>
      <protection hidden="1"/>
    </xf>
    <xf numFmtId="0" fontId="1" fillId="0" borderId="59" xfId="0" applyFont="1" applyBorder="1" applyAlignment="1" applyProtection="1">
      <alignment horizontal="center" vertical="center" wrapText="1"/>
      <protection hidden="1"/>
    </xf>
    <xf numFmtId="0" fontId="1" fillId="0" borderId="55" xfId="0" applyFont="1" applyBorder="1" applyAlignment="1" applyProtection="1">
      <alignment horizontal="center" vertical="center" wrapText="1"/>
      <protection hidden="1"/>
    </xf>
    <xf numFmtId="166" fontId="41" fillId="0" borderId="42" xfId="0" applyNumberFormat="1" applyFont="1" applyBorder="1" applyAlignment="1" applyProtection="1">
      <alignment horizontal="center" vertical="center" wrapText="1"/>
      <protection hidden="1"/>
    </xf>
    <xf numFmtId="0" fontId="1" fillId="0" borderId="60" xfId="0" applyFont="1" applyBorder="1" applyAlignment="1" applyProtection="1">
      <alignment horizontal="center" vertical="center" wrapText="1"/>
      <protection hidden="1"/>
    </xf>
    <xf numFmtId="166" fontId="0" fillId="2" borderId="15" xfId="0" applyNumberFormat="1" applyFill="1" applyBorder="1" applyAlignment="1" applyProtection="1">
      <alignment horizontal="center" vertical="center"/>
      <protection hidden="1"/>
    </xf>
    <xf numFmtId="0" fontId="1" fillId="0" borderId="35" xfId="0" applyFont="1" applyBorder="1" applyAlignment="1" applyProtection="1">
      <alignment horizontal="left"/>
      <protection hidden="1"/>
    </xf>
    <xf numFmtId="166" fontId="0" fillId="0" borderId="15" xfId="0" applyNumberFormat="1" applyFill="1" applyBorder="1" applyAlignment="1" applyProtection="1">
      <alignment horizontal="center" vertical="center"/>
      <protection hidden="1"/>
    </xf>
    <xf numFmtId="0" fontId="2" fillId="0" borderId="0" xfId="0" applyFont="1" applyBorder="1" applyAlignment="1" applyProtection="1">
      <protection hidden="1"/>
    </xf>
    <xf numFmtId="166" fontId="11" fillId="0" borderId="44" xfId="0" applyNumberFormat="1" applyFont="1" applyBorder="1" applyAlignment="1" applyProtection="1">
      <alignment horizontal="center" vertical="center"/>
      <protection hidden="1"/>
    </xf>
    <xf numFmtId="20"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166" fontId="40" fillId="0" borderId="52" xfId="0" applyNumberFormat="1" applyFont="1" applyBorder="1" applyAlignment="1" applyProtection="1">
      <alignment horizontal="right" vertical="center"/>
      <protection hidden="1"/>
    </xf>
    <xf numFmtId="166" fontId="4" fillId="0" borderId="36" xfId="0" applyNumberFormat="1" applyFont="1" applyBorder="1" applyAlignment="1" applyProtection="1">
      <alignment horizontal="left" vertical="center"/>
      <protection hidden="1"/>
    </xf>
    <xf numFmtId="0" fontId="1" fillId="0" borderId="40" xfId="0" applyFont="1" applyBorder="1" applyAlignment="1" applyProtection="1">
      <alignment horizontal="center" vertical="center"/>
      <protection hidden="1"/>
    </xf>
    <xf numFmtId="166" fontId="10" fillId="0" borderId="44" xfId="0" applyNumberFormat="1" applyFont="1" applyBorder="1" applyAlignment="1" applyProtection="1">
      <alignment horizontal="center" vertical="center"/>
      <protection hidden="1"/>
    </xf>
    <xf numFmtId="166" fontId="40" fillId="0" borderId="62" xfId="0" applyNumberFormat="1" applyFont="1" applyBorder="1" applyAlignment="1" applyProtection="1">
      <alignment horizontal="right" vertical="center"/>
      <protection hidden="1"/>
    </xf>
    <xf numFmtId="166" fontId="4" fillId="0" borderId="63" xfId="0" applyNumberFormat="1" applyFont="1" applyBorder="1" applyAlignment="1" applyProtection="1">
      <alignment horizontal="left" vertical="center"/>
      <protection hidden="1"/>
    </xf>
    <xf numFmtId="166" fontId="10" fillId="0" borderId="61" xfId="0" applyNumberFormat="1" applyFont="1" applyBorder="1" applyAlignment="1" applyProtection="1">
      <alignment horizontal="center" vertical="center"/>
      <protection hidden="1"/>
    </xf>
    <xf numFmtId="166" fontId="39" fillId="0" borderId="43" xfId="0" applyNumberFormat="1" applyFont="1" applyFill="1" applyBorder="1" applyAlignment="1" applyProtection="1">
      <alignment horizontal="center" vertical="center"/>
      <protection hidden="1"/>
    </xf>
    <xf numFmtId="166" fontId="38" fillId="0" borderId="44" xfId="0" applyNumberFormat="1" applyFont="1" applyFill="1" applyBorder="1" applyAlignment="1" applyProtection="1">
      <alignment horizontal="center" vertical="center"/>
      <protection hidden="1"/>
    </xf>
  </cellXfs>
  <cellStyles count="2">
    <cellStyle name="Normal" xfId="0" builtinId="0"/>
    <cellStyle name="Standard 2" xfId="1" xr:uid="{00000000-0005-0000-0000-000001000000}"/>
  </cellStyles>
  <dxfs count="85">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indexed="44"/>
        </patternFill>
      </fill>
    </dxf>
    <dxf>
      <font>
        <b/>
        <i val="0"/>
        <color theme="1"/>
      </font>
    </dxf>
    <dxf>
      <fill>
        <patternFill>
          <bgColor rgb="FFFF0000"/>
        </patternFill>
      </fill>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rgb="FFFF0000"/>
        </patternFill>
      </fill>
    </dxf>
    <dxf>
      <fill>
        <patternFill>
          <bgColor indexed="44"/>
        </patternFill>
      </fill>
    </dxf>
    <dxf>
      <font>
        <b/>
        <i val="0"/>
        <color theme="1"/>
      </font>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rgb="FFFF0000"/>
        </patternFill>
      </fill>
    </dxf>
    <dxf>
      <fill>
        <patternFill>
          <bgColor indexed="44"/>
        </patternFill>
      </fill>
    </dxf>
    <dxf>
      <font>
        <b/>
        <i val="0"/>
        <color theme="1"/>
      </font>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rgb="FFFF0000"/>
        </patternFill>
      </fill>
    </dxf>
    <dxf>
      <fill>
        <patternFill>
          <bgColor indexed="44"/>
        </patternFill>
      </fill>
    </dxf>
    <dxf>
      <font>
        <b/>
        <i val="0"/>
        <color theme="1"/>
      </font>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rgb="FFFF0000"/>
        </patternFill>
      </fill>
    </dxf>
    <dxf>
      <fill>
        <patternFill>
          <bgColor indexed="44"/>
        </patternFill>
      </fill>
    </dxf>
    <dxf>
      <font>
        <b/>
        <i val="0"/>
        <color theme="1"/>
      </font>
    </dxf>
    <dxf>
      <font>
        <b/>
        <i val="0"/>
        <strike val="0"/>
        <color theme="1"/>
      </font>
    </dxf>
    <dxf>
      <font>
        <b/>
        <i val="0"/>
        <color theme="1"/>
      </font>
    </dxf>
    <dxf>
      <font>
        <strike val="0"/>
        <color rgb="FF99CCFF"/>
      </font>
      <fill>
        <patternFill>
          <fgColor rgb="FF99CCFF"/>
          <bgColor rgb="FF99CCFF"/>
        </patternFill>
      </fill>
    </dxf>
    <dxf>
      <fill>
        <patternFill>
          <bgColor rgb="FFFF0000"/>
        </patternFill>
      </fill>
    </dxf>
    <dxf>
      <fill>
        <patternFill>
          <bgColor indexed="44"/>
        </patternFill>
      </fill>
    </dxf>
    <dxf>
      <font>
        <b/>
        <i val="0"/>
        <color theme="1"/>
      </font>
    </dxf>
    <dxf>
      <fill>
        <patternFill>
          <bgColor rgb="FFFF0000"/>
        </patternFill>
      </fill>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rgb="FFFF0000"/>
        </patternFill>
      </fill>
    </dxf>
    <dxf>
      <fill>
        <patternFill>
          <bgColor indexed="44"/>
        </patternFill>
      </fill>
    </dxf>
    <dxf>
      <font>
        <b/>
        <i val="0"/>
        <color theme="1"/>
      </font>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indexed="44"/>
        </patternFill>
      </fill>
    </dxf>
    <dxf>
      <fill>
        <patternFill>
          <bgColor rgb="FFFF0000"/>
        </patternFill>
      </fill>
    </dxf>
    <dxf>
      <font>
        <b/>
        <i val="0"/>
        <color theme="1"/>
      </font>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indexed="44"/>
        </patternFill>
      </fill>
    </dxf>
    <dxf>
      <fill>
        <patternFill>
          <bgColor rgb="FFFF0000"/>
        </patternFill>
      </fill>
    </dxf>
    <dxf>
      <font>
        <b/>
        <i val="0"/>
        <color theme="1"/>
      </font>
    </dxf>
    <dxf>
      <font>
        <strike val="0"/>
        <color rgb="FF99CCFF"/>
      </font>
      <fill>
        <patternFill>
          <fgColor rgb="FF99CCFF"/>
          <bgColor rgb="FF99CCFF"/>
        </patternFill>
      </fill>
    </dxf>
    <dxf>
      <font>
        <b/>
        <i val="0"/>
        <strike val="0"/>
        <color theme="1"/>
      </font>
    </dxf>
    <dxf>
      <font>
        <b/>
        <i val="0"/>
        <color theme="1"/>
      </font>
    </dxf>
    <dxf>
      <fill>
        <patternFill>
          <bgColor rgb="FFFF0000"/>
        </patternFill>
      </fill>
    </dxf>
    <dxf>
      <fill>
        <patternFill>
          <bgColor indexed="44"/>
        </patternFill>
      </fill>
    </dxf>
    <dxf>
      <fill>
        <patternFill>
          <bgColor rgb="FFFF0000"/>
        </patternFill>
      </fill>
    </dxf>
    <dxf>
      <font>
        <b/>
        <i val="0"/>
        <color theme="1"/>
      </font>
    </dxf>
    <dxf>
      <font>
        <b/>
        <i val="0"/>
        <color theme="1"/>
      </font>
    </dxf>
    <dxf>
      <font>
        <b/>
        <i val="0"/>
        <strike val="0"/>
        <color theme="1"/>
      </font>
    </dxf>
    <dxf>
      <font>
        <strike val="0"/>
        <color rgb="FF99CCFF"/>
      </font>
      <fill>
        <patternFill>
          <fgColor rgb="FF99CCFF"/>
          <bgColor rgb="FF99CCFF"/>
        </patternFill>
      </fill>
    </dxf>
    <dxf>
      <fill>
        <patternFill>
          <bgColor indexed="44"/>
        </patternFill>
      </fill>
    </dxf>
    <dxf>
      <fill>
        <patternFill>
          <bgColor rgb="FFFF0000"/>
        </patternFill>
      </fill>
    </dxf>
    <dxf>
      <fill>
        <patternFill>
          <bgColor rgb="FFFF0000"/>
        </patternFill>
      </fill>
    </dxf>
    <dxf>
      <font>
        <b/>
        <i val="0"/>
        <color theme="1"/>
      </font>
    </dxf>
    <dxf>
      <font>
        <b/>
        <i val="0"/>
      </font>
    </dxf>
    <dxf>
      <font>
        <b/>
        <i val="0"/>
        <color theme="1"/>
      </font>
    </dxf>
    <dxf>
      <fill>
        <patternFill>
          <bgColor rgb="FFFF0000"/>
        </patternFill>
      </fill>
    </dxf>
    <dxf>
      <fill>
        <patternFill>
          <bgColor rgb="FFFF0000"/>
        </patternFill>
      </fill>
    </dxf>
    <dxf>
      <font>
        <b/>
        <i val="0"/>
        <color theme="1"/>
      </font>
    </dxf>
    <dxf>
      <font>
        <color rgb="FF99CCFF"/>
      </font>
      <fill>
        <patternFill>
          <bgColor rgb="FF99CCFF"/>
        </patternFill>
      </fill>
    </dxf>
    <dxf>
      <fill>
        <patternFill patternType="solid">
          <bgColor rgb="FF99CCFF"/>
        </patternFill>
      </fill>
    </dxf>
    <dxf>
      <font>
        <condense val="0"/>
        <extend val="0"/>
        <color indexed="50"/>
      </font>
    </dxf>
  </dxfs>
  <tableStyles count="0" defaultTableStyle="TableStyleMedium2" defaultPivotStyle="PivotStyleLight16"/>
  <colors>
    <mruColors>
      <color rgb="FF99CCFF"/>
      <color rgb="FF66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0636" name="Rectangle 1">
          <a:extLst>
            <a:ext uri="{FF2B5EF4-FFF2-40B4-BE49-F238E27FC236}">
              <a16:creationId xmlns:a16="http://schemas.microsoft.com/office/drawing/2014/main" id="{00000000-0008-0000-0100-0000AC770000}"/>
            </a:ext>
          </a:extLst>
        </xdr:cNvPr>
        <xdr:cNvSpPr>
          <a:spLocks noChangeArrowheads="1"/>
        </xdr:cNvSpPr>
      </xdr:nvSpPr>
      <xdr:spPr bwMode="auto">
        <a:xfrm>
          <a:off x="0" y="9906000"/>
          <a:ext cx="228600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0637" name="Line 2">
          <a:extLst>
            <a:ext uri="{FF2B5EF4-FFF2-40B4-BE49-F238E27FC236}">
              <a16:creationId xmlns:a16="http://schemas.microsoft.com/office/drawing/2014/main" id="{00000000-0008-0000-0100-0000AD770000}"/>
            </a:ext>
          </a:extLst>
        </xdr:cNvPr>
        <xdr:cNvSpPr>
          <a:spLocks noChangeShapeType="1"/>
        </xdr:cNvSpPr>
      </xdr:nvSpPr>
      <xdr:spPr bwMode="auto">
        <a:xfrm>
          <a:off x="0" y="1059942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58</xdr:row>
      <xdr:rowOff>15240</xdr:rowOff>
    </xdr:to>
    <xdr:sp macro="" textlink="">
      <xdr:nvSpPr>
        <xdr:cNvPr id="30638" name="Rectangle 3">
          <a:extLst>
            <a:ext uri="{FF2B5EF4-FFF2-40B4-BE49-F238E27FC236}">
              <a16:creationId xmlns:a16="http://schemas.microsoft.com/office/drawing/2014/main" id="{00000000-0008-0000-0100-0000AE770000}"/>
            </a:ext>
          </a:extLst>
        </xdr:cNvPr>
        <xdr:cNvSpPr>
          <a:spLocks noChangeArrowheads="1"/>
        </xdr:cNvSpPr>
      </xdr:nvSpPr>
      <xdr:spPr bwMode="auto">
        <a:xfrm>
          <a:off x="0" y="9906000"/>
          <a:ext cx="2286000" cy="143256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0639" name="Line 4">
          <a:extLst>
            <a:ext uri="{FF2B5EF4-FFF2-40B4-BE49-F238E27FC236}">
              <a16:creationId xmlns:a16="http://schemas.microsoft.com/office/drawing/2014/main" id="{00000000-0008-0000-0100-0000AF770000}"/>
            </a:ext>
          </a:extLst>
        </xdr:cNvPr>
        <xdr:cNvSpPr>
          <a:spLocks noChangeShapeType="1"/>
        </xdr:cNvSpPr>
      </xdr:nvSpPr>
      <xdr:spPr bwMode="auto">
        <a:xfrm>
          <a:off x="0" y="10599420"/>
          <a:ext cx="228600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0</xdr:colOff>
      <xdr:row>0</xdr:row>
      <xdr:rowOff>0</xdr:rowOff>
    </xdr:from>
    <xdr:to>
      <xdr:col>11</xdr:col>
      <xdr:colOff>619313</xdr:colOff>
      <xdr:row>5</xdr:row>
      <xdr:rowOff>28763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8650" y="0"/>
          <a:ext cx="822513" cy="8225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6780" name="Rectangle 1">
          <a:extLst>
            <a:ext uri="{FF2B5EF4-FFF2-40B4-BE49-F238E27FC236}">
              <a16:creationId xmlns:a16="http://schemas.microsoft.com/office/drawing/2014/main" id="{00000000-0008-0000-0A00-0000AC8F0000}"/>
            </a:ext>
          </a:extLst>
        </xdr:cNvPr>
        <xdr:cNvSpPr>
          <a:spLocks noChangeArrowheads="1"/>
        </xdr:cNvSpPr>
      </xdr:nvSpPr>
      <xdr:spPr bwMode="auto">
        <a:xfrm>
          <a:off x="0" y="899922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6781" name="Line 2">
          <a:extLst>
            <a:ext uri="{FF2B5EF4-FFF2-40B4-BE49-F238E27FC236}">
              <a16:creationId xmlns:a16="http://schemas.microsoft.com/office/drawing/2014/main" id="{00000000-0008-0000-0A00-0000AD8F0000}"/>
            </a:ext>
          </a:extLst>
        </xdr:cNvPr>
        <xdr:cNvSpPr>
          <a:spLocks noChangeShapeType="1"/>
        </xdr:cNvSpPr>
      </xdr:nvSpPr>
      <xdr:spPr bwMode="auto">
        <a:xfrm>
          <a:off x="0" y="969264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6782" name="Rectangle 3">
          <a:extLst>
            <a:ext uri="{FF2B5EF4-FFF2-40B4-BE49-F238E27FC236}">
              <a16:creationId xmlns:a16="http://schemas.microsoft.com/office/drawing/2014/main" id="{00000000-0008-0000-0A00-0000AE8F0000}"/>
            </a:ext>
          </a:extLst>
        </xdr:cNvPr>
        <xdr:cNvSpPr>
          <a:spLocks noChangeArrowheads="1"/>
        </xdr:cNvSpPr>
      </xdr:nvSpPr>
      <xdr:spPr bwMode="auto">
        <a:xfrm>
          <a:off x="0" y="899922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6783" name="Line 4">
          <a:extLst>
            <a:ext uri="{FF2B5EF4-FFF2-40B4-BE49-F238E27FC236}">
              <a16:creationId xmlns:a16="http://schemas.microsoft.com/office/drawing/2014/main" id="{00000000-0008-0000-0A00-0000AF8F0000}"/>
            </a:ext>
          </a:extLst>
        </xdr:cNvPr>
        <xdr:cNvSpPr>
          <a:spLocks noChangeShapeType="1"/>
        </xdr:cNvSpPr>
      </xdr:nvSpPr>
      <xdr:spPr bwMode="auto">
        <a:xfrm>
          <a:off x="0" y="969264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1351" y="1"/>
          <a:ext cx="822513" cy="822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7808" name="Rectangle 1">
          <a:extLst>
            <a:ext uri="{FF2B5EF4-FFF2-40B4-BE49-F238E27FC236}">
              <a16:creationId xmlns:a16="http://schemas.microsoft.com/office/drawing/2014/main" id="{00000000-0008-0000-0B00-0000B093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7809" name="Line 2">
          <a:extLst>
            <a:ext uri="{FF2B5EF4-FFF2-40B4-BE49-F238E27FC236}">
              <a16:creationId xmlns:a16="http://schemas.microsoft.com/office/drawing/2014/main" id="{00000000-0008-0000-0B00-0000B193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7810" name="Rectangle 3">
          <a:extLst>
            <a:ext uri="{FF2B5EF4-FFF2-40B4-BE49-F238E27FC236}">
              <a16:creationId xmlns:a16="http://schemas.microsoft.com/office/drawing/2014/main" id="{00000000-0008-0000-0B00-0000B293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7811" name="Line 4">
          <a:extLst>
            <a:ext uri="{FF2B5EF4-FFF2-40B4-BE49-F238E27FC236}">
              <a16:creationId xmlns:a16="http://schemas.microsoft.com/office/drawing/2014/main" id="{00000000-0008-0000-0B00-0000B393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7701" y="1"/>
          <a:ext cx="822513" cy="822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41897" name="Rectangle 1">
          <a:extLst>
            <a:ext uri="{FF2B5EF4-FFF2-40B4-BE49-F238E27FC236}">
              <a16:creationId xmlns:a16="http://schemas.microsoft.com/office/drawing/2014/main" id="{00000000-0008-0000-0C00-0000A9A3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41898" name="Line 2">
          <a:extLst>
            <a:ext uri="{FF2B5EF4-FFF2-40B4-BE49-F238E27FC236}">
              <a16:creationId xmlns:a16="http://schemas.microsoft.com/office/drawing/2014/main" id="{00000000-0008-0000-0C00-0000AAA3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41899" name="Rectangle 3">
          <a:extLst>
            <a:ext uri="{FF2B5EF4-FFF2-40B4-BE49-F238E27FC236}">
              <a16:creationId xmlns:a16="http://schemas.microsoft.com/office/drawing/2014/main" id="{00000000-0008-0000-0C00-0000ABA3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41900" name="Line 4">
          <a:extLst>
            <a:ext uri="{FF2B5EF4-FFF2-40B4-BE49-F238E27FC236}">
              <a16:creationId xmlns:a16="http://schemas.microsoft.com/office/drawing/2014/main" id="{00000000-0008-0000-0C00-0000ACA3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1351" y="1"/>
          <a:ext cx="822513" cy="822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29612" name="Rectangle 1">
          <a:extLst>
            <a:ext uri="{FF2B5EF4-FFF2-40B4-BE49-F238E27FC236}">
              <a16:creationId xmlns:a16="http://schemas.microsoft.com/office/drawing/2014/main" id="{00000000-0008-0000-0200-0000AC730000}"/>
            </a:ext>
          </a:extLst>
        </xdr:cNvPr>
        <xdr:cNvSpPr>
          <a:spLocks noChangeArrowheads="1"/>
        </xdr:cNvSpPr>
      </xdr:nvSpPr>
      <xdr:spPr bwMode="auto">
        <a:xfrm>
          <a:off x="0" y="9898380"/>
          <a:ext cx="230124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29613" name="Line 2">
          <a:extLst>
            <a:ext uri="{FF2B5EF4-FFF2-40B4-BE49-F238E27FC236}">
              <a16:creationId xmlns:a16="http://schemas.microsoft.com/office/drawing/2014/main" id="{00000000-0008-0000-0200-0000AD730000}"/>
            </a:ext>
          </a:extLst>
        </xdr:cNvPr>
        <xdr:cNvSpPr>
          <a:spLocks noChangeShapeType="1"/>
        </xdr:cNvSpPr>
      </xdr:nvSpPr>
      <xdr:spPr bwMode="auto">
        <a:xfrm>
          <a:off x="0" y="10591800"/>
          <a:ext cx="230124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29614" name="Rectangle 3">
          <a:extLst>
            <a:ext uri="{FF2B5EF4-FFF2-40B4-BE49-F238E27FC236}">
              <a16:creationId xmlns:a16="http://schemas.microsoft.com/office/drawing/2014/main" id="{00000000-0008-0000-0200-0000AE730000}"/>
            </a:ext>
          </a:extLst>
        </xdr:cNvPr>
        <xdr:cNvSpPr>
          <a:spLocks noChangeArrowheads="1"/>
        </xdr:cNvSpPr>
      </xdr:nvSpPr>
      <xdr:spPr bwMode="auto">
        <a:xfrm>
          <a:off x="0" y="9898380"/>
          <a:ext cx="230124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29615" name="Line 4">
          <a:extLst>
            <a:ext uri="{FF2B5EF4-FFF2-40B4-BE49-F238E27FC236}">
              <a16:creationId xmlns:a16="http://schemas.microsoft.com/office/drawing/2014/main" id="{00000000-0008-0000-0200-0000AF730000}"/>
            </a:ext>
          </a:extLst>
        </xdr:cNvPr>
        <xdr:cNvSpPr>
          <a:spLocks noChangeShapeType="1"/>
        </xdr:cNvSpPr>
      </xdr:nvSpPr>
      <xdr:spPr bwMode="auto">
        <a:xfrm>
          <a:off x="0" y="10591800"/>
          <a:ext cx="230124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717551</xdr:colOff>
      <xdr:row>0</xdr:row>
      <xdr:rowOff>0</xdr:rowOff>
    </xdr:from>
    <xdr:to>
      <xdr:col>11</xdr:col>
      <xdr:colOff>612964</xdr:colOff>
      <xdr:row>5</xdr:row>
      <xdr:rowOff>28763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1" y="0"/>
          <a:ext cx="822513" cy="822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28582" name="Rectangle 1">
          <a:extLst>
            <a:ext uri="{FF2B5EF4-FFF2-40B4-BE49-F238E27FC236}">
              <a16:creationId xmlns:a16="http://schemas.microsoft.com/office/drawing/2014/main" id="{00000000-0008-0000-0300-0000A66F0000}"/>
            </a:ext>
          </a:extLst>
        </xdr:cNvPr>
        <xdr:cNvSpPr>
          <a:spLocks noChangeArrowheads="1"/>
        </xdr:cNvSpPr>
      </xdr:nvSpPr>
      <xdr:spPr bwMode="auto">
        <a:xfrm>
          <a:off x="0" y="9906000"/>
          <a:ext cx="228600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28583" name="Line 2">
          <a:extLst>
            <a:ext uri="{FF2B5EF4-FFF2-40B4-BE49-F238E27FC236}">
              <a16:creationId xmlns:a16="http://schemas.microsoft.com/office/drawing/2014/main" id="{00000000-0008-0000-0300-0000A76F0000}"/>
            </a:ext>
          </a:extLst>
        </xdr:cNvPr>
        <xdr:cNvSpPr>
          <a:spLocks noChangeShapeType="1"/>
        </xdr:cNvSpPr>
      </xdr:nvSpPr>
      <xdr:spPr bwMode="auto">
        <a:xfrm>
          <a:off x="0" y="10599420"/>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28584" name="Rectangle 3">
          <a:extLst>
            <a:ext uri="{FF2B5EF4-FFF2-40B4-BE49-F238E27FC236}">
              <a16:creationId xmlns:a16="http://schemas.microsoft.com/office/drawing/2014/main" id="{00000000-0008-0000-0300-0000A86F0000}"/>
            </a:ext>
          </a:extLst>
        </xdr:cNvPr>
        <xdr:cNvSpPr>
          <a:spLocks noChangeArrowheads="1"/>
        </xdr:cNvSpPr>
      </xdr:nvSpPr>
      <xdr:spPr bwMode="auto">
        <a:xfrm>
          <a:off x="0" y="9906000"/>
          <a:ext cx="228600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28585" name="Line 4">
          <a:extLst>
            <a:ext uri="{FF2B5EF4-FFF2-40B4-BE49-F238E27FC236}">
              <a16:creationId xmlns:a16="http://schemas.microsoft.com/office/drawing/2014/main" id="{00000000-0008-0000-0300-0000A96F0000}"/>
            </a:ext>
          </a:extLst>
        </xdr:cNvPr>
        <xdr:cNvSpPr>
          <a:spLocks noChangeShapeType="1"/>
        </xdr:cNvSpPr>
      </xdr:nvSpPr>
      <xdr:spPr bwMode="auto">
        <a:xfrm>
          <a:off x="0" y="10599420"/>
          <a:ext cx="228600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717551</xdr:colOff>
      <xdr:row>0</xdr:row>
      <xdr:rowOff>0</xdr:rowOff>
    </xdr:from>
    <xdr:to>
      <xdr:col>11</xdr:col>
      <xdr:colOff>612964</xdr:colOff>
      <xdr:row>5</xdr:row>
      <xdr:rowOff>28763</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3251" y="0"/>
          <a:ext cx="822513" cy="822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1654" name="Rectangle 1">
          <a:extLst>
            <a:ext uri="{FF2B5EF4-FFF2-40B4-BE49-F238E27FC236}">
              <a16:creationId xmlns:a16="http://schemas.microsoft.com/office/drawing/2014/main" id="{00000000-0008-0000-0400-0000A67B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1655" name="Line 2">
          <a:extLst>
            <a:ext uri="{FF2B5EF4-FFF2-40B4-BE49-F238E27FC236}">
              <a16:creationId xmlns:a16="http://schemas.microsoft.com/office/drawing/2014/main" id="{00000000-0008-0000-0400-0000A77B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1656" name="Rectangle 3">
          <a:extLst>
            <a:ext uri="{FF2B5EF4-FFF2-40B4-BE49-F238E27FC236}">
              <a16:creationId xmlns:a16="http://schemas.microsoft.com/office/drawing/2014/main" id="{00000000-0008-0000-0400-0000A87B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1657" name="Line 4">
          <a:extLst>
            <a:ext uri="{FF2B5EF4-FFF2-40B4-BE49-F238E27FC236}">
              <a16:creationId xmlns:a16="http://schemas.microsoft.com/office/drawing/2014/main" id="{00000000-0008-0000-0400-0000A97B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4051" y="1"/>
          <a:ext cx="822513" cy="822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2685" name="Rectangle 1">
          <a:extLst>
            <a:ext uri="{FF2B5EF4-FFF2-40B4-BE49-F238E27FC236}">
              <a16:creationId xmlns:a16="http://schemas.microsoft.com/office/drawing/2014/main" id="{00000000-0008-0000-0500-0000AD7F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2686" name="Line 2">
          <a:extLst>
            <a:ext uri="{FF2B5EF4-FFF2-40B4-BE49-F238E27FC236}">
              <a16:creationId xmlns:a16="http://schemas.microsoft.com/office/drawing/2014/main" id="{00000000-0008-0000-0500-0000AE7F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2687" name="Rectangle 3">
          <a:extLst>
            <a:ext uri="{FF2B5EF4-FFF2-40B4-BE49-F238E27FC236}">
              <a16:creationId xmlns:a16="http://schemas.microsoft.com/office/drawing/2014/main" id="{00000000-0008-0000-0500-0000AF7F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2688" name="Line 4">
          <a:extLst>
            <a:ext uri="{FF2B5EF4-FFF2-40B4-BE49-F238E27FC236}">
              <a16:creationId xmlns:a16="http://schemas.microsoft.com/office/drawing/2014/main" id="{00000000-0008-0000-0500-0000B07F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0401" y="1"/>
          <a:ext cx="822513" cy="822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3719" name="Rectangle 1">
          <a:extLst>
            <a:ext uri="{FF2B5EF4-FFF2-40B4-BE49-F238E27FC236}">
              <a16:creationId xmlns:a16="http://schemas.microsoft.com/office/drawing/2014/main" id="{00000000-0008-0000-0600-0000B783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3720" name="Line 2">
          <a:extLst>
            <a:ext uri="{FF2B5EF4-FFF2-40B4-BE49-F238E27FC236}">
              <a16:creationId xmlns:a16="http://schemas.microsoft.com/office/drawing/2014/main" id="{00000000-0008-0000-0600-0000B883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3721" name="Rectangle 3">
          <a:extLst>
            <a:ext uri="{FF2B5EF4-FFF2-40B4-BE49-F238E27FC236}">
              <a16:creationId xmlns:a16="http://schemas.microsoft.com/office/drawing/2014/main" id="{00000000-0008-0000-0600-0000B983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3722" name="Line 4">
          <a:extLst>
            <a:ext uri="{FF2B5EF4-FFF2-40B4-BE49-F238E27FC236}">
              <a16:creationId xmlns:a16="http://schemas.microsoft.com/office/drawing/2014/main" id="{00000000-0008-0000-0600-0000BA83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22414</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1" y="1"/>
          <a:ext cx="822513" cy="822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40870" name="Rectangle 1">
          <a:extLst>
            <a:ext uri="{FF2B5EF4-FFF2-40B4-BE49-F238E27FC236}">
              <a16:creationId xmlns:a16="http://schemas.microsoft.com/office/drawing/2014/main" id="{00000000-0008-0000-0700-0000A69F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40871" name="Line 2">
          <a:extLst>
            <a:ext uri="{FF2B5EF4-FFF2-40B4-BE49-F238E27FC236}">
              <a16:creationId xmlns:a16="http://schemas.microsoft.com/office/drawing/2014/main" id="{00000000-0008-0000-0700-0000A79F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40872" name="Rectangle 3">
          <a:extLst>
            <a:ext uri="{FF2B5EF4-FFF2-40B4-BE49-F238E27FC236}">
              <a16:creationId xmlns:a16="http://schemas.microsoft.com/office/drawing/2014/main" id="{00000000-0008-0000-0700-0000A89F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40873" name="Line 4">
          <a:extLst>
            <a:ext uri="{FF2B5EF4-FFF2-40B4-BE49-F238E27FC236}">
              <a16:creationId xmlns:a16="http://schemas.microsoft.com/office/drawing/2014/main" id="{00000000-0008-0000-0700-0000A99F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4051" y="1"/>
          <a:ext cx="822513" cy="822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5750" name="Rectangle 1">
          <a:extLst>
            <a:ext uri="{FF2B5EF4-FFF2-40B4-BE49-F238E27FC236}">
              <a16:creationId xmlns:a16="http://schemas.microsoft.com/office/drawing/2014/main" id="{00000000-0008-0000-0800-0000A68B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5751" name="Line 2">
          <a:extLst>
            <a:ext uri="{FF2B5EF4-FFF2-40B4-BE49-F238E27FC236}">
              <a16:creationId xmlns:a16="http://schemas.microsoft.com/office/drawing/2014/main" id="{00000000-0008-0000-0800-0000A78B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5752" name="Rectangle 3">
          <a:extLst>
            <a:ext uri="{FF2B5EF4-FFF2-40B4-BE49-F238E27FC236}">
              <a16:creationId xmlns:a16="http://schemas.microsoft.com/office/drawing/2014/main" id="{00000000-0008-0000-0800-0000A88B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5753" name="Line 4">
          <a:extLst>
            <a:ext uri="{FF2B5EF4-FFF2-40B4-BE49-F238E27FC236}">
              <a16:creationId xmlns:a16="http://schemas.microsoft.com/office/drawing/2014/main" id="{00000000-0008-0000-0800-0000A98B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7701" y="1"/>
          <a:ext cx="822513" cy="822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0</xdr:colOff>
      <xdr:row>58</xdr:row>
      <xdr:rowOff>0</xdr:rowOff>
    </xdr:to>
    <xdr:sp macro="" textlink="">
      <xdr:nvSpPr>
        <xdr:cNvPr id="38822" name="Rectangle 1">
          <a:extLst>
            <a:ext uri="{FF2B5EF4-FFF2-40B4-BE49-F238E27FC236}">
              <a16:creationId xmlns:a16="http://schemas.microsoft.com/office/drawing/2014/main" id="{00000000-0008-0000-0900-0000A6970000}"/>
            </a:ext>
          </a:extLst>
        </xdr:cNvPr>
        <xdr:cNvSpPr>
          <a:spLocks noChangeArrowheads="1"/>
        </xdr:cNvSpPr>
      </xdr:nvSpPr>
      <xdr:spPr bwMode="auto">
        <a:xfrm>
          <a:off x="0" y="9906000"/>
          <a:ext cx="2293620" cy="1371600"/>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8823" name="Line 2">
          <a:extLst>
            <a:ext uri="{FF2B5EF4-FFF2-40B4-BE49-F238E27FC236}">
              <a16:creationId xmlns:a16="http://schemas.microsoft.com/office/drawing/2014/main" id="{00000000-0008-0000-0900-0000A7970000}"/>
            </a:ext>
          </a:extLst>
        </xdr:cNvPr>
        <xdr:cNvSpPr>
          <a:spLocks noChangeShapeType="1"/>
        </xdr:cNvSpPr>
      </xdr:nvSpPr>
      <xdr:spPr bwMode="auto">
        <a:xfrm>
          <a:off x="0" y="10599420"/>
          <a:ext cx="229362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4</xdr:col>
      <xdr:colOff>0</xdr:colOff>
      <xdr:row>57</xdr:row>
      <xdr:rowOff>167640</xdr:rowOff>
    </xdr:to>
    <xdr:sp macro="" textlink="">
      <xdr:nvSpPr>
        <xdr:cNvPr id="38824" name="Rectangle 3">
          <a:extLst>
            <a:ext uri="{FF2B5EF4-FFF2-40B4-BE49-F238E27FC236}">
              <a16:creationId xmlns:a16="http://schemas.microsoft.com/office/drawing/2014/main" id="{00000000-0008-0000-0900-0000A8970000}"/>
            </a:ext>
          </a:extLst>
        </xdr:cNvPr>
        <xdr:cNvSpPr>
          <a:spLocks noChangeArrowheads="1"/>
        </xdr:cNvSpPr>
      </xdr:nvSpPr>
      <xdr:spPr bwMode="auto">
        <a:xfrm>
          <a:off x="0" y="9906000"/>
          <a:ext cx="2293620" cy="1363980"/>
        </a:xfrm>
        <a:prstGeom prst="rect">
          <a:avLst/>
        </a:prstGeom>
        <a:noFill/>
        <a:ln w="9360">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54</xdr:row>
      <xdr:rowOff>7620</xdr:rowOff>
    </xdr:from>
    <xdr:to>
      <xdr:col>4</xdr:col>
      <xdr:colOff>0</xdr:colOff>
      <xdr:row>54</xdr:row>
      <xdr:rowOff>7620</xdr:rowOff>
    </xdr:to>
    <xdr:sp macro="" textlink="">
      <xdr:nvSpPr>
        <xdr:cNvPr id="38825" name="Line 4">
          <a:extLst>
            <a:ext uri="{FF2B5EF4-FFF2-40B4-BE49-F238E27FC236}">
              <a16:creationId xmlns:a16="http://schemas.microsoft.com/office/drawing/2014/main" id="{00000000-0008-0000-0900-0000A9970000}"/>
            </a:ext>
          </a:extLst>
        </xdr:cNvPr>
        <xdr:cNvSpPr>
          <a:spLocks noChangeShapeType="1"/>
        </xdr:cNvSpPr>
      </xdr:nvSpPr>
      <xdr:spPr bwMode="auto">
        <a:xfrm>
          <a:off x="0" y="10599420"/>
          <a:ext cx="2293620" cy="0"/>
        </a:xfrm>
        <a:prstGeom prst="line">
          <a:avLst/>
        </a:prstGeom>
        <a:noFill/>
        <a:ln w="9360">
          <a:solidFill>
            <a:srgbClr val="000000"/>
          </a:solidFill>
          <a:prstDash val="dash"/>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1</xdr:colOff>
      <xdr:row>0</xdr:row>
      <xdr:rowOff>1</xdr:rowOff>
    </xdr:from>
    <xdr:to>
      <xdr:col>11</xdr:col>
      <xdr:colOff>619314</xdr:colOff>
      <xdr:row>5</xdr:row>
      <xdr:rowOff>28764</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1" y="1"/>
          <a:ext cx="822513" cy="822513"/>
        </a:xfrm>
        <a:prstGeom prst="rect">
          <a:avLst/>
        </a:prstGeom>
      </xdr:spPr>
    </xdr:pic>
    <xdr:clientData/>
  </xdr:twoCellAnchor>
</xdr:wsDr>
</file>

<file path=xl/theme/theme1.xml><?xml version="1.0" encoding="utf-8"?>
<a:theme xmlns:a="http://schemas.openxmlformats.org/drawingml/2006/main" name="Larissa">
  <a:themeElements>
    <a:clrScheme name="NewsPrint">
      <a:dk1>
        <a:sysClr val="windowText" lastClr="000000"/>
      </a:dk1>
      <a:lt1>
        <a:sysClr val="window" lastClr="FFFFFF"/>
      </a:lt1>
      <a:dk2>
        <a:srgbClr val="303030"/>
      </a:dk2>
      <a:lt2>
        <a:srgbClr val="DEDEE0"/>
      </a:lt2>
      <a:accent1>
        <a:srgbClr val="AD0101"/>
      </a:accent1>
      <a:accent2>
        <a:srgbClr val="726056"/>
      </a:accent2>
      <a:accent3>
        <a:srgbClr val="AC956E"/>
      </a:accent3>
      <a:accent4>
        <a:srgbClr val="808DA9"/>
      </a:accent4>
      <a:accent5>
        <a:srgbClr val="424E5B"/>
      </a:accent5>
      <a:accent6>
        <a:srgbClr val="730E00"/>
      </a:accent6>
      <a:hlink>
        <a:srgbClr val="D26900"/>
      </a:hlink>
      <a:folHlink>
        <a:srgbClr val="D89243"/>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E47"/>
  <sheetViews>
    <sheetView zoomScale="85" zoomScaleNormal="85" workbookViewId="0">
      <selection activeCell="D40" sqref="D40"/>
    </sheetView>
  </sheetViews>
  <sheetFormatPr defaultColWidth="11.54296875" defaultRowHeight="12.5" x14ac:dyDescent="0.25"/>
  <cols>
    <col min="1" max="1" width="6.6328125" style="123" customWidth="1"/>
    <col min="2" max="2" width="27.81640625" style="123" customWidth="1"/>
    <col min="3" max="3" width="39" style="123" customWidth="1"/>
    <col min="4" max="4" width="20.36328125" style="123" customWidth="1"/>
    <col min="5" max="16384" width="11.54296875" style="123"/>
  </cols>
  <sheetData>
    <row r="1" spans="1:4" s="115" customFormat="1" ht="18" customHeight="1" x14ac:dyDescent="0.25">
      <c r="A1" s="113" t="s">
        <v>67</v>
      </c>
      <c r="B1" s="114"/>
      <c r="C1" s="114"/>
      <c r="D1" s="114"/>
    </row>
    <row r="2" spans="1:4" s="115" customFormat="1" ht="31.5" customHeight="1" thickBot="1" x14ac:dyDescent="0.3">
      <c r="A2" s="116" t="s">
        <v>68</v>
      </c>
      <c r="B2" s="117"/>
      <c r="C2" s="118"/>
      <c r="D2" s="117"/>
    </row>
    <row r="3" spans="1:4" s="115" customFormat="1" ht="9.75" customHeight="1" thickBot="1" x14ac:dyDescent="0.3">
      <c r="A3" s="114"/>
      <c r="B3" s="114"/>
      <c r="C3" s="114"/>
      <c r="D3" s="114"/>
    </row>
    <row r="4" spans="1:4" s="115" customFormat="1" ht="29.25" customHeight="1" thickBot="1" x14ac:dyDescent="0.3">
      <c r="A4" s="119" t="s">
        <v>38</v>
      </c>
      <c r="B4" s="313" t="s">
        <v>59</v>
      </c>
      <c r="C4" s="314"/>
      <c r="D4" s="315"/>
    </row>
    <row r="5" spans="1:4" s="115" customFormat="1" ht="29.25" customHeight="1" thickBot="1" x14ac:dyDescent="0.3">
      <c r="A5" s="119">
        <v>1</v>
      </c>
      <c r="B5" s="120" t="s">
        <v>76</v>
      </c>
      <c r="C5" s="176" t="s">
        <v>19</v>
      </c>
      <c r="D5" s="178">
        <v>2024</v>
      </c>
    </row>
    <row r="6" spans="1:4" ht="23.25" customHeight="1" thickBot="1" x14ac:dyDescent="0.3">
      <c r="A6" s="121">
        <f>A5+1</f>
        <v>2</v>
      </c>
      <c r="B6" s="122" t="s">
        <v>54</v>
      </c>
      <c r="C6" s="316" t="s">
        <v>80</v>
      </c>
      <c r="D6" s="317"/>
    </row>
    <row r="7" spans="1:4" ht="23.25" customHeight="1" thickBot="1" x14ac:dyDescent="0.3">
      <c r="A7" s="121">
        <f t="shared" ref="A7:A17" si="0">A6+1</f>
        <v>3</v>
      </c>
      <c r="B7" s="122" t="s">
        <v>55</v>
      </c>
      <c r="C7" s="316" t="s">
        <v>81</v>
      </c>
      <c r="D7" s="317"/>
    </row>
    <row r="8" spans="1:4" ht="22.5" customHeight="1" thickBot="1" x14ac:dyDescent="0.3">
      <c r="A8" s="121">
        <f t="shared" si="0"/>
        <v>4</v>
      </c>
      <c r="B8" s="120" t="s">
        <v>56</v>
      </c>
      <c r="C8" s="318" t="s">
        <v>115</v>
      </c>
      <c r="D8" s="317"/>
    </row>
    <row r="9" spans="1:4" ht="42" customHeight="1" thickBot="1" x14ac:dyDescent="0.3">
      <c r="A9" s="121">
        <f t="shared" si="0"/>
        <v>5</v>
      </c>
      <c r="B9" s="319" t="s">
        <v>57</v>
      </c>
      <c r="C9" s="320"/>
      <c r="D9" s="124">
        <v>1.6458333333333333</v>
      </c>
    </row>
    <row r="10" spans="1:4" ht="35.4" customHeight="1" thickBot="1" x14ac:dyDescent="0.3">
      <c r="A10" s="121">
        <f>A9+1</f>
        <v>6</v>
      </c>
      <c r="B10" s="309" t="s">
        <v>58</v>
      </c>
      <c r="C10" s="310"/>
      <c r="D10" s="147">
        <v>1</v>
      </c>
    </row>
    <row r="11" spans="1:4" ht="11.25" hidden="1" customHeight="1" thickBot="1" x14ac:dyDescent="0.3">
      <c r="A11" s="121">
        <f t="shared" si="0"/>
        <v>7</v>
      </c>
      <c r="B11" s="125" t="s">
        <v>39</v>
      </c>
      <c r="C11" s="126"/>
      <c r="D11" s="127">
        <f>+D10</f>
        <v>1</v>
      </c>
    </row>
    <row r="12" spans="1:4" ht="11.25" hidden="1" customHeight="1" thickBot="1" x14ac:dyDescent="0.3">
      <c r="A12" s="121">
        <f t="shared" si="0"/>
        <v>8</v>
      </c>
      <c r="B12" s="125" t="s">
        <v>40</v>
      </c>
      <c r="C12" s="126"/>
      <c r="D12" s="127">
        <f>+IF(D9=1,ROUND((TIME(23,45,0)+TIME(7,0,0)),5),ROUND((TIME(23,45,0)+TIME(5,9,0)),5))</f>
        <v>1.20417</v>
      </c>
    </row>
    <row r="13" spans="1:4" ht="11.25" hidden="1" customHeight="1" thickBot="1" x14ac:dyDescent="0.3">
      <c r="A13" s="121">
        <f t="shared" si="0"/>
        <v>9</v>
      </c>
      <c r="B13" s="125" t="s">
        <v>41</v>
      </c>
      <c r="C13" s="128"/>
      <c r="D13" s="127">
        <f>+D11/2</f>
        <v>0.5</v>
      </c>
    </row>
    <row r="14" spans="1:4" ht="24.75" customHeight="1" thickBot="1" x14ac:dyDescent="0.3">
      <c r="A14" s="121">
        <f>A10+1</f>
        <v>7</v>
      </c>
      <c r="B14" s="129" t="s">
        <v>63</v>
      </c>
      <c r="C14" s="199"/>
      <c r="D14" s="130">
        <f>D9*D10</f>
        <v>1.6458333333333333</v>
      </c>
    </row>
    <row r="15" spans="1:4" ht="11.25" hidden="1" customHeight="1" thickBot="1" x14ac:dyDescent="0.3">
      <c r="A15" s="121">
        <f t="shared" si="0"/>
        <v>8</v>
      </c>
      <c r="B15" s="125" t="s">
        <v>42</v>
      </c>
      <c r="C15" s="131"/>
      <c r="D15" s="132">
        <v>0.5</v>
      </c>
    </row>
    <row r="16" spans="1:4" ht="11.25" hidden="1" customHeight="1" thickBot="1" x14ac:dyDescent="0.3">
      <c r="A16" s="121">
        <f t="shared" si="0"/>
        <v>9</v>
      </c>
      <c r="B16" s="125" t="s">
        <v>43</v>
      </c>
      <c r="C16" s="126"/>
      <c r="D16" s="132">
        <v>0.375</v>
      </c>
    </row>
    <row r="17" spans="1:5" ht="11.25" hidden="1" customHeight="1" thickBot="1" x14ac:dyDescent="0.3">
      <c r="A17" s="121">
        <f t="shared" si="0"/>
        <v>10</v>
      </c>
      <c r="B17" s="125" t="s">
        <v>44</v>
      </c>
      <c r="C17" s="126"/>
      <c r="D17" s="132">
        <v>0.25</v>
      </c>
    </row>
    <row r="18" spans="1:5" ht="58" customHeight="1" thickBot="1" x14ac:dyDescent="0.3">
      <c r="A18" s="133">
        <f>A14+1</f>
        <v>8</v>
      </c>
      <c r="B18" s="321" t="s">
        <v>79</v>
      </c>
      <c r="C18" s="322"/>
      <c r="D18" s="239">
        <f>COUNTIF($D$19:$D$23, "&gt;0,02")</f>
        <v>5</v>
      </c>
    </row>
    <row r="19" spans="1:5" ht="21" customHeight="1" thickTop="1" thickBot="1" x14ac:dyDescent="0.3">
      <c r="A19" s="121">
        <f>A15+1</f>
        <v>9</v>
      </c>
      <c r="B19" s="200" t="s">
        <v>47</v>
      </c>
      <c r="C19" s="258">
        <f>IF(D19&gt;0.02, ABS(D19-C$24), 0)</f>
        <v>4.1666666666666519E-3</v>
      </c>
      <c r="D19" s="1">
        <v>0.33333333333333331</v>
      </c>
      <c r="E19" s="300"/>
    </row>
    <row r="20" spans="1:5" ht="24.75" customHeight="1" thickBot="1" x14ac:dyDescent="0.3">
      <c r="A20" s="121">
        <f>A16+1</f>
        <v>10</v>
      </c>
      <c r="B20" s="134" t="s">
        <v>48</v>
      </c>
      <c r="C20" s="260">
        <f t="shared" ref="C20:C23" si="1">IF(D20&gt;0.02, ABS(D20-C$24), 0)</f>
        <v>4.1666666666666519E-3</v>
      </c>
      <c r="D20" s="1">
        <v>0.33333333333333331</v>
      </c>
    </row>
    <row r="21" spans="1:5" ht="24.75" customHeight="1" thickBot="1" x14ac:dyDescent="0.3">
      <c r="A21" s="121">
        <f>A17+1</f>
        <v>11</v>
      </c>
      <c r="B21" s="134" t="s">
        <v>49</v>
      </c>
      <c r="C21" s="260">
        <f t="shared" si="1"/>
        <v>4.1666666666666519E-3</v>
      </c>
      <c r="D21" s="1">
        <v>0.33333333333333331</v>
      </c>
    </row>
    <row r="22" spans="1:5" ht="24.75" customHeight="1" thickBot="1" x14ac:dyDescent="0.3">
      <c r="A22" s="121">
        <f>A21+1</f>
        <v>12</v>
      </c>
      <c r="B22" s="134" t="s">
        <v>50</v>
      </c>
      <c r="C22" s="260">
        <f t="shared" si="1"/>
        <v>4.1666666666666519E-3</v>
      </c>
      <c r="D22" s="1">
        <v>0.33333333333333331</v>
      </c>
    </row>
    <row r="23" spans="1:5" ht="24.75" customHeight="1" thickBot="1" x14ac:dyDescent="0.3">
      <c r="A23" s="121">
        <f t="shared" ref="A23:A32" si="2">A22+1</f>
        <v>13</v>
      </c>
      <c r="B23" s="134" t="s">
        <v>51</v>
      </c>
      <c r="C23" s="259">
        <f t="shared" si="1"/>
        <v>1.6666666666666663E-2</v>
      </c>
      <c r="D23" s="1">
        <v>0.3125</v>
      </c>
    </row>
    <row r="24" spans="1:5" ht="24.75" customHeight="1" thickBot="1" x14ac:dyDescent="0.3">
      <c r="A24" s="121">
        <f t="shared" si="2"/>
        <v>14</v>
      </c>
      <c r="B24" s="135" t="s">
        <v>52</v>
      </c>
      <c r="C24" s="240">
        <f>D14/D18</f>
        <v>0.32916666666666666</v>
      </c>
      <c r="D24" s="136">
        <f>SUM(D19:D23)</f>
        <v>1.6458333333333333</v>
      </c>
    </row>
    <row r="25" spans="1:5" ht="21" customHeight="1" thickBot="1" x14ac:dyDescent="0.3">
      <c r="A25" s="121">
        <f t="shared" si="2"/>
        <v>15</v>
      </c>
      <c r="B25" s="115"/>
      <c r="D25" s="137" t="str">
        <f>+IF(ABS(D14-D24)&lt;0.0004,"Verteilung ist summarisch korrekt ","falsche Verteilung der Stunden ")</f>
        <v xml:space="preserve">Verteilung ist summarisch korrekt </v>
      </c>
    </row>
    <row r="26" spans="1:5" ht="24.75" customHeight="1" thickBot="1" x14ac:dyDescent="0.3">
      <c r="A26" s="133">
        <f t="shared" si="2"/>
        <v>16</v>
      </c>
      <c r="B26" s="138" t="s">
        <v>78</v>
      </c>
      <c r="D26" s="177" t="str">
        <f>C5</f>
        <v>Januar</v>
      </c>
    </row>
    <row r="27" spans="1:5" ht="21" customHeight="1" thickBot="1" x14ac:dyDescent="0.3">
      <c r="A27" s="121">
        <f t="shared" si="2"/>
        <v>17</v>
      </c>
      <c r="B27" s="139" t="s">
        <v>53</v>
      </c>
      <c r="C27" s="140" t="s">
        <v>86</v>
      </c>
      <c r="D27" s="141" t="s">
        <v>87</v>
      </c>
    </row>
    <row r="28" spans="1:5" ht="24.75" customHeight="1" thickBot="1" x14ac:dyDescent="0.3">
      <c r="A28" s="121">
        <f t="shared" si="2"/>
        <v>18</v>
      </c>
      <c r="B28" s="142" t="s">
        <v>77</v>
      </c>
      <c r="C28" s="2">
        <v>0</v>
      </c>
      <c r="D28" s="3">
        <v>0</v>
      </c>
    </row>
    <row r="29" spans="1:5" ht="24.75" customHeight="1" thickBot="1" x14ac:dyDescent="0.3">
      <c r="A29" s="121">
        <f t="shared" si="2"/>
        <v>19</v>
      </c>
      <c r="B29" s="142" t="s">
        <v>89</v>
      </c>
      <c r="C29" s="286"/>
      <c r="D29" s="237" t="s">
        <v>45</v>
      </c>
    </row>
    <row r="30" spans="1:5" ht="24.75" customHeight="1" thickBot="1" x14ac:dyDescent="0.3">
      <c r="A30" s="121">
        <f t="shared" si="2"/>
        <v>20</v>
      </c>
      <c r="B30" s="142" t="s">
        <v>90</v>
      </c>
      <c r="C30" s="287" t="str">
        <f>IF(OR(ISTEXT(C29), C29 &lt; 0.001), " ", IF(SUM(C19:C23)/D14 &lt; 0.025, C33, 0))</f>
        <v xml:space="preserve"> </v>
      </c>
      <c r="D30" s="143" t="s">
        <v>45</v>
      </c>
    </row>
    <row r="31" spans="1:5" ht="24.75" customHeight="1" thickBot="1" x14ac:dyDescent="0.3">
      <c r="A31" s="121">
        <f t="shared" si="2"/>
        <v>21</v>
      </c>
      <c r="B31" s="233" t="s">
        <v>46</v>
      </c>
      <c r="C31" s="268"/>
      <c r="D31" s="267"/>
    </row>
    <row r="32" spans="1:5" ht="40.5" customHeight="1" thickBot="1" x14ac:dyDescent="0.3">
      <c r="A32" s="121">
        <f t="shared" si="2"/>
        <v>22</v>
      </c>
      <c r="B32" s="311" t="s">
        <v>88</v>
      </c>
      <c r="C32" s="312"/>
      <c r="D32" s="144">
        <v>42461</v>
      </c>
    </row>
    <row r="33" spans="1:5" ht="9.75" customHeight="1" x14ac:dyDescent="0.25">
      <c r="B33" s="234">
        <f>MATCH(C5,{"Januar";"Februar";"März";"April";"Mai";"Juni";"Juli";"August";"September";"Oktober";"November";"Dezember"},0)</f>
        <v>1</v>
      </c>
      <c r="C33" s="235">
        <f>D33*$D18/5</f>
        <v>30</v>
      </c>
      <c r="D33" s="236">
        <v>30</v>
      </c>
    </row>
    <row r="34" spans="1:5" x14ac:dyDescent="0.25">
      <c r="A34" s="146">
        <v>1</v>
      </c>
      <c r="B34" s="278" t="s">
        <v>97</v>
      </c>
      <c r="C34" s="279"/>
      <c r="D34" s="280"/>
      <c r="E34" s="247" t="str">
        <f xml:space="preserve"> IF(OR(ISTEXT(C$29), C$29 &lt; 0.001), " ",#REF!)</f>
        <v xml:space="preserve"> </v>
      </c>
    </row>
    <row r="35" spans="1:5" x14ac:dyDescent="0.25">
      <c r="A35" s="145"/>
      <c r="B35" s="278" t="s">
        <v>108</v>
      </c>
      <c r="C35" s="280"/>
      <c r="D35" s="280"/>
      <c r="E35" s="247" t="str">
        <f>IF(OR(ISTEXT(C$29), C$29 &lt; 0.001), " ", E39)</f>
        <v xml:space="preserve"> </v>
      </c>
    </row>
    <row r="36" spans="1:5" ht="17.5" customHeight="1" x14ac:dyDescent="0.25">
      <c r="A36" s="146">
        <v>2</v>
      </c>
      <c r="B36" s="278" t="s">
        <v>94</v>
      </c>
      <c r="C36" s="280"/>
      <c r="D36" s="280"/>
      <c r="E36" s="247"/>
    </row>
    <row r="37" spans="1:5" ht="13" customHeight="1" x14ac:dyDescent="0.3">
      <c r="A37" s="145"/>
      <c r="B37" s="278" t="s">
        <v>110</v>
      </c>
      <c r="C37" s="303" t="s">
        <v>114</v>
      </c>
      <c r="D37" s="280"/>
      <c r="E37" s="247" t="str">
        <f>IF(OR(ISTEXT(C$29), C$29 &lt; 0.001), " ", E40)</f>
        <v xml:space="preserve"> </v>
      </c>
    </row>
    <row r="38" spans="1:5" ht="13" customHeight="1" x14ac:dyDescent="0.3">
      <c r="A38" s="145"/>
      <c r="B38" s="278" t="s">
        <v>111</v>
      </c>
      <c r="C38" s="303" t="s">
        <v>113</v>
      </c>
      <c r="D38" s="280"/>
      <c r="E38" s="247"/>
    </row>
    <row r="39" spans="1:5" ht="13" x14ac:dyDescent="0.3">
      <c r="A39" s="145"/>
      <c r="B39" s="278" t="s">
        <v>112</v>
      </c>
      <c r="C39" s="280"/>
      <c r="D39" s="280"/>
      <c r="E39" s="248" t="s">
        <v>84</v>
      </c>
    </row>
    <row r="40" spans="1:5" ht="17.5" customHeight="1" x14ac:dyDescent="0.25">
      <c r="A40" s="146">
        <v>3</v>
      </c>
      <c r="B40" s="281" t="s">
        <v>82</v>
      </c>
      <c r="C40" s="280"/>
      <c r="D40" s="280"/>
      <c r="E40" s="249" t="s">
        <v>85</v>
      </c>
    </row>
    <row r="41" spans="1:5" x14ac:dyDescent="0.25">
      <c r="A41" s="145"/>
      <c r="B41" s="281" t="s">
        <v>83</v>
      </c>
      <c r="C41" s="280"/>
      <c r="D41" s="280"/>
    </row>
    <row r="42" spans="1:5" ht="17.5" customHeight="1" x14ac:dyDescent="0.25">
      <c r="A42" s="146">
        <v>4</v>
      </c>
      <c r="B42" s="278" t="s">
        <v>73</v>
      </c>
      <c r="C42" s="280"/>
      <c r="D42" s="280"/>
    </row>
    <row r="43" spans="1:5" x14ac:dyDescent="0.25">
      <c r="A43" s="146"/>
      <c r="B43" s="278" t="s">
        <v>74</v>
      </c>
      <c r="C43" s="280"/>
      <c r="D43" s="280"/>
    </row>
    <row r="44" spans="1:5" ht="13" x14ac:dyDescent="0.3">
      <c r="B44" s="308" t="s">
        <v>93</v>
      </c>
      <c r="C44" s="308"/>
      <c r="D44" s="308"/>
    </row>
    <row r="45" spans="1:5" x14ac:dyDescent="0.25">
      <c r="B45" s="278" t="s">
        <v>75</v>
      </c>
      <c r="C45" s="280"/>
      <c r="D45" s="282"/>
    </row>
    <row r="46" spans="1:5" ht="17.5" customHeight="1" x14ac:dyDescent="0.25">
      <c r="A46" s="146">
        <v>5</v>
      </c>
      <c r="B46" s="278" t="s">
        <v>103</v>
      </c>
      <c r="C46" s="280"/>
      <c r="D46" s="282"/>
    </row>
    <row r="47" spans="1:5" ht="20" customHeight="1" x14ac:dyDescent="0.25">
      <c r="B47" s="302" t="s">
        <v>109</v>
      </c>
      <c r="C47" s="302" t="s">
        <v>105</v>
      </c>
      <c r="D47" s="297" t="s">
        <v>128</v>
      </c>
    </row>
  </sheetData>
  <sheetProtection password="9BC9" sheet="1" objects="1" scenarios="1"/>
  <mergeCells count="9">
    <mergeCell ref="B44:D44"/>
    <mergeCell ref="B10:C10"/>
    <mergeCell ref="B32:C32"/>
    <mergeCell ref="B4:D4"/>
    <mergeCell ref="C6:D6"/>
    <mergeCell ref="C7:D7"/>
    <mergeCell ref="C8:D8"/>
    <mergeCell ref="B9:C9"/>
    <mergeCell ref="B18:C18"/>
  </mergeCells>
  <conditionalFormatting sqref="D25">
    <cfRule type="cellIs" dxfId="84" priority="3" stopIfTrue="1" operator="equal">
      <formula>"Verteilung ist summarisch korrekt "</formula>
    </cfRule>
  </conditionalFormatting>
  <printOptions horizontalCentered="1" verticalCentered="1"/>
  <pageMargins left="0.62992125984251968" right="0.35433070866141736" top="0.31496062992125984" bottom="0.19685039370078741" header="0.15748031496062992" footer="0.15748031496062992"/>
  <pageSetup paperSize="9" scale="8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N62"/>
  <sheetViews>
    <sheetView topLeftCell="A35" zoomScale="85" zoomScaleNormal="85" workbookViewId="0">
      <selection activeCell="I56" sqref="I56:J58"/>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36328125" style="18" customWidth="1"/>
    <col min="8" max="8" width="9.08984375" style="18" customWidth="1"/>
    <col min="9" max="9" width="10" style="18" customWidth="1"/>
    <col min="10" max="10" width="10.36328125" style="18" customWidth="1"/>
    <col min="11" max="11" width="2.90625" style="18" customWidth="1"/>
    <col min="12" max="12" width="8.90625" style="18" customWidth="1"/>
    <col min="13" max="13" width="16.36328125" style="170" customWidth="1"/>
    <col min="14" max="14" width="18.1796875" style="18" customWidth="1"/>
    <col min="15" max="16384" width="11.54296875" style="18"/>
  </cols>
  <sheetData>
    <row r="1" spans="1:14" ht="15.5" x14ac:dyDescent="0.35">
      <c r="A1" s="15" t="s">
        <v>72</v>
      </c>
      <c r="B1" s="16"/>
      <c r="C1" s="16"/>
      <c r="D1" s="16"/>
      <c r="E1" s="16"/>
      <c r="F1" s="17"/>
      <c r="G1" s="359" t="s">
        <v>9</v>
      </c>
      <c r="H1" s="359"/>
      <c r="I1" s="359"/>
      <c r="J1" s="359"/>
    </row>
    <row r="2" spans="1:14" ht="15.5" x14ac:dyDescent="0.35">
      <c r="A2" s="16"/>
      <c r="B2" s="16"/>
      <c r="C2" s="16"/>
      <c r="D2" s="16"/>
      <c r="E2" s="16"/>
      <c r="F2" s="19"/>
      <c r="G2" s="359"/>
      <c r="H2" s="359"/>
      <c r="I2" s="359"/>
      <c r="J2" s="359"/>
    </row>
    <row r="3" spans="1:14" x14ac:dyDescent="0.25">
      <c r="C3" s="380" t="s">
        <v>11</v>
      </c>
      <c r="D3" s="380"/>
      <c r="G3" s="359"/>
      <c r="H3" s="359"/>
      <c r="I3" s="359"/>
      <c r="J3" s="359"/>
    </row>
    <row r="4" spans="1:14" ht="13.25" customHeight="1" x14ac:dyDescent="0.25">
      <c r="A4" s="361" t="s">
        <v>5</v>
      </c>
      <c r="B4" s="361"/>
      <c r="C4" s="361"/>
      <c r="D4" s="361"/>
      <c r="E4" s="361"/>
      <c r="F4" s="22"/>
      <c r="G4" s="359"/>
      <c r="H4" s="359"/>
      <c r="I4" s="359"/>
      <c r="J4" s="359"/>
    </row>
    <row r="5" spans="1:14" ht="6" customHeight="1" x14ac:dyDescent="0.25">
      <c r="A5" s="361"/>
      <c r="B5" s="361"/>
      <c r="C5" s="361"/>
      <c r="D5" s="361"/>
      <c r="E5" s="361"/>
      <c r="F5" s="22"/>
      <c r="G5" s="359"/>
      <c r="H5" s="359"/>
      <c r="I5" s="359"/>
      <c r="J5" s="359"/>
    </row>
    <row r="6" spans="1:14" ht="13.25" customHeight="1" x14ac:dyDescent="0.25">
      <c r="A6" s="361"/>
      <c r="B6" s="361"/>
      <c r="C6" s="361"/>
      <c r="D6" s="361"/>
      <c r="E6" s="361"/>
      <c r="F6" s="22"/>
      <c r="G6" s="359"/>
      <c r="H6" s="359"/>
      <c r="I6" s="359"/>
      <c r="J6" s="359"/>
    </row>
    <row r="7" spans="1:14" ht="13.25" customHeight="1" x14ac:dyDescent="0.25">
      <c r="A7" s="22"/>
      <c r="B7" s="22"/>
      <c r="C7" s="22"/>
      <c r="D7" s="22"/>
      <c r="E7" s="22"/>
      <c r="F7" s="22"/>
      <c r="G7" s="359"/>
      <c r="H7" s="359"/>
      <c r="I7" s="359"/>
      <c r="J7" s="359"/>
    </row>
    <row r="8" spans="1:14" ht="6" customHeight="1" thickBot="1" x14ac:dyDescent="0.3">
      <c r="A8" s="23"/>
      <c r="B8" s="24"/>
      <c r="C8" s="24"/>
      <c r="D8" s="24"/>
      <c r="E8" s="25"/>
      <c r="F8" s="25"/>
      <c r="G8" s="25"/>
      <c r="H8" s="25"/>
      <c r="I8" s="26"/>
      <c r="J8" s="26"/>
      <c r="K8" s="27"/>
      <c r="L8" s="28"/>
    </row>
    <row r="9" spans="1:14" ht="6" customHeight="1" x14ac:dyDescent="0.25">
      <c r="A9" s="29"/>
      <c r="B9" s="30"/>
      <c r="C9" s="30"/>
      <c r="D9" s="30"/>
      <c r="E9" s="31"/>
      <c r="F9" s="31"/>
      <c r="G9" s="31"/>
      <c r="H9" s="31"/>
      <c r="I9" s="32"/>
      <c r="J9" s="32"/>
      <c r="K9" s="33"/>
      <c r="L9" s="34"/>
    </row>
    <row r="10" spans="1:14" x14ac:dyDescent="0.25">
      <c r="A10" s="29"/>
      <c r="B10" s="30"/>
      <c r="C10" s="30"/>
      <c r="D10" s="30"/>
      <c r="E10" s="31"/>
      <c r="F10" s="31"/>
      <c r="G10" s="31"/>
      <c r="I10" s="32"/>
      <c r="J10" s="32"/>
      <c r="K10" s="33"/>
      <c r="L10" s="34"/>
    </row>
    <row r="11" spans="1:14" ht="13" x14ac:dyDescent="0.3">
      <c r="A11" s="357" t="s">
        <v>6</v>
      </c>
      <c r="B11" s="357"/>
      <c r="C11" s="35" t="str">
        <f>Aug!C11</f>
        <v>ATHENE, Pallas</v>
      </c>
      <c r="D11" s="36"/>
      <c r="E11" s="37"/>
      <c r="F11" s="38"/>
      <c r="G11" s="38" t="s">
        <v>8</v>
      </c>
      <c r="H11" s="39"/>
      <c r="I11" s="97" t="s">
        <v>17</v>
      </c>
      <c r="J11" s="98">
        <f>Jan!J11</f>
        <v>2024</v>
      </c>
      <c r="K11" s="42"/>
      <c r="L11" s="43"/>
    </row>
    <row r="12" spans="1:14" ht="13" x14ac:dyDescent="0.25">
      <c r="B12" s="34"/>
      <c r="C12" s="44"/>
      <c r="D12" s="45"/>
      <c r="E12" s="38"/>
      <c r="F12" s="38"/>
      <c r="G12" s="31"/>
      <c r="H12" s="261"/>
      <c r="I12" s="262"/>
      <c r="J12" s="263" t="s">
        <v>91</v>
      </c>
      <c r="K12" s="33"/>
      <c r="L12" s="34"/>
    </row>
    <row r="13" spans="1:14" ht="13" x14ac:dyDescent="0.3">
      <c r="A13" s="357" t="s">
        <v>7</v>
      </c>
      <c r="B13" s="357"/>
      <c r="C13" s="35" t="str">
        <f>Aug!C13</f>
        <v>Geschäftsstelle</v>
      </c>
      <c r="D13" s="50"/>
      <c r="E13" s="37"/>
      <c r="F13" s="51"/>
      <c r="G13" s="51"/>
      <c r="H13" s="264"/>
      <c r="I13" s="265"/>
      <c r="J13" s="266" t="s">
        <v>92</v>
      </c>
      <c r="K13" s="42"/>
      <c r="L13" s="43"/>
    </row>
    <row r="14" spans="1:14" ht="13" thickBot="1" x14ac:dyDescent="0.3">
      <c r="K14" s="33"/>
      <c r="L14" s="34"/>
    </row>
    <row r="15" spans="1:14"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4" ht="13.5" thickBot="1" x14ac:dyDescent="0.35">
      <c r="A16" s="358"/>
      <c r="B16" s="358"/>
      <c r="C16" s="358"/>
      <c r="D16" s="358"/>
      <c r="E16" s="358"/>
      <c r="F16" s="365"/>
      <c r="G16" s="365"/>
      <c r="H16" s="363"/>
      <c r="I16" s="54" t="s">
        <v>1</v>
      </c>
      <c r="J16" s="54" t="s">
        <v>2</v>
      </c>
      <c r="K16" s="327"/>
      <c r="L16" s="328"/>
      <c r="N16" s="291" t="s">
        <v>98</v>
      </c>
    </row>
    <row r="17" spans="1:14" ht="13.5" thickBot="1" x14ac:dyDescent="0.35">
      <c r="A17" s="358"/>
      <c r="B17" s="358"/>
      <c r="C17" s="358"/>
      <c r="D17" s="358"/>
      <c r="E17" s="358"/>
      <c r="F17" s="365"/>
      <c r="G17" s="365"/>
      <c r="H17" s="363"/>
      <c r="I17" s="368">
        <f>IF(Mantelbogen!D26=I11,Mantelbogen!C28,Aug!I53)</f>
        <v>0.70833333333333459</v>
      </c>
      <c r="J17" s="369" t="str">
        <f>IF(Mantelbogen!D26=I11,Mantelbogen!D28,Aug!J53)</f>
        <v/>
      </c>
      <c r="K17" s="329" t="str">
        <f>IF(I17/H58 &gt; 1, I17/H58, " " )</f>
        <v xml:space="preserve"> </v>
      </c>
      <c r="L17" s="330"/>
      <c r="N17" s="291" t="s">
        <v>99</v>
      </c>
    </row>
    <row r="18" spans="1:14" ht="13.5" thickBot="1" x14ac:dyDescent="0.35">
      <c r="A18" s="358"/>
      <c r="B18" s="358"/>
      <c r="C18" s="358"/>
      <c r="D18" s="358"/>
      <c r="E18" s="358"/>
      <c r="F18" s="365"/>
      <c r="G18" s="365"/>
      <c r="H18" s="364"/>
      <c r="I18" s="368"/>
      <c r="J18" s="369"/>
      <c r="K18" s="331"/>
      <c r="L18" s="332"/>
      <c r="N18" s="291" t="s">
        <v>100</v>
      </c>
    </row>
    <row r="19" spans="1:14" ht="17.399999999999999" customHeight="1" x14ac:dyDescent="0.25">
      <c r="A19" s="55">
        <v>1</v>
      </c>
      <c r="B19" s="56" t="str">
        <f t="shared" ref="B19:B48" si="0">TEXT(CONCATENATE(A19,".",I$11," ", J$11), "TTTT")</f>
        <v>Sonntag</v>
      </c>
      <c r="C19" s="4">
        <v>0.35416666666666669</v>
      </c>
      <c r="D19" s="4">
        <v>0.70833333333333337</v>
      </c>
      <c r="E19" s="4">
        <v>2.0833333333333332E-2</v>
      </c>
      <c r="F19" s="346">
        <f t="shared" ref="F19" si="1">IF(OR(ISTEXT(C19),ISBLANK(C19)),"",D19-C19-E19)</f>
        <v>0.33333333333333337</v>
      </c>
      <c r="G19" s="347"/>
      <c r="H19" s="212">
        <f t="shared" ref="H19:H48" si="2">IF(AND(OR(ISTEXT(C19),ISBLANK(C19)),ISERR(SEARCH("ausgleich",C19,1))),"",INDEX(H$51:H$58,WEEKDAY(CONCATENATE(A19,".",I$11," ",J$11),2),1,1))</f>
        <v>0</v>
      </c>
      <c r="I19" s="195" t="str">
        <f t="shared" ref="I19:I48" si="3">IF(OR(AND(F19&gt;H19,OR(B19&lt;&gt;"Samstag",H$56&gt;0),OR(B19&lt;&gt;"Sonntag",H$57&gt;0),AND(ISNONTEXT(C19),C19&lt;&gt;""))),F19-H19,"")</f>
        <v/>
      </c>
      <c r="J19" s="5" t="str">
        <f t="shared" ref="J19:J48" si="4">IF(NOT(ISERR(SEARCH("ausgleich",C19,1))),H19, IF(AND(F19&lt;H19,B19&lt;&gt;"Samstag",B19&lt;&gt;"Sonntag",ISNONTEXT(C19)),H19-F19,""))</f>
        <v/>
      </c>
      <c r="K19" s="6" t="str">
        <f>IF(AND(B19="Sonntag",SUM(I19:I19)&lt;SUM(J19:J19)),"-","")</f>
        <v/>
      </c>
      <c r="L19" s="7">
        <f>IF(B19="Sonntag",ABS(SUM(I19:I19)-SUM(J19:J19)),"")</f>
        <v>0</v>
      </c>
      <c r="M19" s="173"/>
      <c r="N19" s="170"/>
    </row>
    <row r="20" spans="1:14" ht="17.399999999999999" customHeight="1" x14ac:dyDescent="0.25">
      <c r="A20" s="55">
        <v>2</v>
      </c>
      <c r="B20" s="56" t="str">
        <f t="shared" si="0"/>
        <v>Montag</v>
      </c>
      <c r="C20" s="4">
        <v>0.35416666666666669</v>
      </c>
      <c r="D20" s="4">
        <v>0.70833333333333337</v>
      </c>
      <c r="E20" s="4">
        <v>2.0833333333333332E-2</v>
      </c>
      <c r="F20" s="346">
        <f t="shared" ref="F20:F48" si="5">IF(OR(ISTEXT(C20),ISBLANK(C20)),"",D20-C20-E20)</f>
        <v>0.33333333333333337</v>
      </c>
      <c r="G20" s="347"/>
      <c r="H20" s="212">
        <f t="shared" si="2"/>
        <v>0.33333333333333331</v>
      </c>
      <c r="I20" s="195" t="str">
        <f t="shared" si="3"/>
        <v/>
      </c>
      <c r="J20" s="5" t="str">
        <f t="shared" si="4"/>
        <v/>
      </c>
      <c r="K20" s="8" t="str">
        <f>IF(AND(B20="Sonntag",SUM(I19:I20)&lt;SUM(J19:J20)),"-","")</f>
        <v/>
      </c>
      <c r="L20" s="9" t="str">
        <f>IF(B20="Sonntag",ABS(SUM(I19:I20)-SUM(J19:J20)),"")</f>
        <v/>
      </c>
      <c r="N20" s="170"/>
    </row>
    <row r="21" spans="1:14" ht="17.399999999999999" customHeight="1" x14ac:dyDescent="0.25">
      <c r="A21" s="55">
        <v>3</v>
      </c>
      <c r="B21" s="56" t="str">
        <f t="shared" si="0"/>
        <v>Dienstag</v>
      </c>
      <c r="C21" s="4">
        <v>0.35416666666666669</v>
      </c>
      <c r="D21" s="4">
        <v>0.70833333333333337</v>
      </c>
      <c r="E21" s="4">
        <v>2.0833333333333332E-2</v>
      </c>
      <c r="F21" s="346">
        <f t="shared" si="5"/>
        <v>0.33333333333333337</v>
      </c>
      <c r="G21" s="347"/>
      <c r="H21" s="212">
        <f t="shared" si="2"/>
        <v>0.33333333333333331</v>
      </c>
      <c r="I21" s="195" t="str">
        <f t="shared" si="3"/>
        <v/>
      </c>
      <c r="J21" s="5" t="str">
        <f t="shared" si="4"/>
        <v/>
      </c>
      <c r="K21" s="8" t="str">
        <f>IF(AND(B21="Sonntag",SUM(I19:I21)&lt;SUM(J19:J21)),"-","")</f>
        <v/>
      </c>
      <c r="L21" s="9" t="str">
        <f>IF(B21="Sonntag",ABS(SUM(I19:I21)-SUM(J19:J21)),"")</f>
        <v/>
      </c>
      <c r="N21" s="170"/>
    </row>
    <row r="22" spans="1:14" ht="17.399999999999999" customHeight="1" x14ac:dyDescent="0.25">
      <c r="A22" s="55">
        <v>4</v>
      </c>
      <c r="B22" s="56" t="str">
        <f t="shared" si="0"/>
        <v>Mittwoch</v>
      </c>
      <c r="C22" s="4">
        <v>0.35416666666666669</v>
      </c>
      <c r="D22" s="4">
        <v>0.70833333333333337</v>
      </c>
      <c r="E22" s="4">
        <v>2.0833333333333332E-2</v>
      </c>
      <c r="F22" s="346">
        <f t="shared" si="5"/>
        <v>0.33333333333333337</v>
      </c>
      <c r="G22" s="347"/>
      <c r="H22" s="212">
        <f t="shared" si="2"/>
        <v>0.33333333333333331</v>
      </c>
      <c r="I22" s="195" t="str">
        <f t="shared" si="3"/>
        <v/>
      </c>
      <c r="J22" s="5" t="str">
        <f t="shared" si="4"/>
        <v/>
      </c>
      <c r="K22" s="8" t="str">
        <f>IF(AND(B22="Sonntag",SUM(I19:I22)&lt;SUM(J19:J22)),"-","")</f>
        <v/>
      </c>
      <c r="L22" s="9" t="str">
        <f>IF(B22="Sonntag",ABS(SUM(I19:I22)-SUM(J19:J22)),"")</f>
        <v/>
      </c>
      <c r="N22" s="170"/>
    </row>
    <row r="23" spans="1:14" ht="17.399999999999999" customHeight="1" x14ac:dyDescent="0.25">
      <c r="A23" s="55">
        <v>5</v>
      </c>
      <c r="B23" s="56" t="str">
        <f t="shared" si="0"/>
        <v>Donnerstag</v>
      </c>
      <c r="C23" s="4">
        <v>0.35416666666666669</v>
      </c>
      <c r="D23" s="4">
        <v>0.70833333333333337</v>
      </c>
      <c r="E23" s="4">
        <v>2.0833333333333332E-2</v>
      </c>
      <c r="F23" s="346">
        <f t="shared" si="5"/>
        <v>0.33333333333333337</v>
      </c>
      <c r="G23" s="347"/>
      <c r="H23" s="212">
        <f t="shared" si="2"/>
        <v>0.33333333333333331</v>
      </c>
      <c r="I23" s="195" t="str">
        <f t="shared" si="3"/>
        <v/>
      </c>
      <c r="J23" s="5" t="str">
        <f t="shared" si="4"/>
        <v/>
      </c>
      <c r="K23" s="8" t="str">
        <f>IF(AND(B23="Sonntag",SUM(I19:I23)&lt;SUM(J19:J23)),"-","")</f>
        <v/>
      </c>
      <c r="L23" s="9" t="str">
        <f>IF(B23="Sonntag",ABS(SUM(I19:I23)-SUM(J19:J23)),"")</f>
        <v/>
      </c>
      <c r="N23" s="170"/>
    </row>
    <row r="24" spans="1:14" ht="17.399999999999999" customHeight="1" x14ac:dyDescent="0.25">
      <c r="A24" s="55">
        <v>6</v>
      </c>
      <c r="B24" s="56" t="str">
        <f t="shared" si="0"/>
        <v>Freitag</v>
      </c>
      <c r="C24" s="4">
        <v>0.35416666666666669</v>
      </c>
      <c r="D24" s="4">
        <v>0.70833333333333337</v>
      </c>
      <c r="E24" s="4">
        <v>2.0833333333333332E-2</v>
      </c>
      <c r="F24" s="346">
        <f t="shared" si="5"/>
        <v>0.33333333333333337</v>
      </c>
      <c r="G24" s="347"/>
      <c r="H24" s="212">
        <f t="shared" si="2"/>
        <v>0.3125</v>
      </c>
      <c r="I24" s="195">
        <f t="shared" si="3"/>
        <v>2.083333333333337E-2</v>
      </c>
      <c r="J24" s="5" t="str">
        <f t="shared" si="4"/>
        <v/>
      </c>
      <c r="K24" s="8" t="str">
        <f>IF(AND(B24="Sonntag",SUM(I19:I24)&lt;SUM(J19:J24)),"-","")</f>
        <v/>
      </c>
      <c r="L24" s="9" t="str">
        <f>IF(B24="Sonntag",ABS(SUM(I19:I24)-SUM(J19:J24)),"")</f>
        <v/>
      </c>
      <c r="N24" s="170"/>
    </row>
    <row r="25" spans="1:14" ht="17.399999999999999" customHeight="1" x14ac:dyDescent="0.25">
      <c r="A25" s="55">
        <v>7</v>
      </c>
      <c r="B25" s="56" t="str">
        <f t="shared" si="0"/>
        <v>Samstag</v>
      </c>
      <c r="C25" s="4">
        <v>0.35416666666666669</v>
      </c>
      <c r="D25" s="4">
        <v>0.70833333333333337</v>
      </c>
      <c r="E25" s="4">
        <v>2.0833333333333332E-2</v>
      </c>
      <c r="F25" s="346">
        <f t="shared" si="5"/>
        <v>0.33333333333333337</v>
      </c>
      <c r="G25" s="347"/>
      <c r="H25" s="212">
        <f t="shared" si="2"/>
        <v>0</v>
      </c>
      <c r="I25" s="195" t="str">
        <f t="shared" si="3"/>
        <v/>
      </c>
      <c r="J25" s="5" t="str">
        <f t="shared" si="4"/>
        <v/>
      </c>
      <c r="K25" s="8" t="str">
        <f>IF(AND(B25="Sonntag",SUM(I19:I25)&lt;SUM(J19:J25)),"-","")</f>
        <v/>
      </c>
      <c r="L25" s="9" t="str">
        <f>IF(B25="Sonntag",ABS(SUM(I19:I25)-SUM(J19:J25)),"")</f>
        <v/>
      </c>
      <c r="N25" s="283" t="s">
        <v>116</v>
      </c>
    </row>
    <row r="26" spans="1:14" ht="17.399999999999999" customHeight="1" x14ac:dyDescent="0.25">
      <c r="A26" s="55">
        <v>8</v>
      </c>
      <c r="B26" s="56" t="str">
        <f t="shared" si="0"/>
        <v>Sonntag</v>
      </c>
      <c r="C26" s="4">
        <v>0.35416666666666669</v>
      </c>
      <c r="D26" s="4">
        <v>0.70833333333333337</v>
      </c>
      <c r="E26" s="4">
        <v>2.0833333333333332E-2</v>
      </c>
      <c r="F26" s="346">
        <f t="shared" si="5"/>
        <v>0.33333333333333337</v>
      </c>
      <c r="G26" s="347"/>
      <c r="H26" s="212">
        <f t="shared" si="2"/>
        <v>0</v>
      </c>
      <c r="I26" s="195" t="str">
        <f t="shared" si="3"/>
        <v/>
      </c>
      <c r="J26" s="5" t="str">
        <f t="shared" si="4"/>
        <v/>
      </c>
      <c r="K26" s="8" t="str">
        <f>IF(AND(B26="Sonntag",SUM(I20:I26)&lt;SUM(J20:J26)),"-","")</f>
        <v/>
      </c>
      <c r="L26" s="9">
        <f>IF(B26="Sonntag",ABS(SUM(I20:I26)-SUM(J20:J26)),"")</f>
        <v>2.083333333333337E-2</v>
      </c>
      <c r="N26" s="170"/>
    </row>
    <row r="27" spans="1:14" ht="17.399999999999999" customHeight="1" x14ac:dyDescent="0.25">
      <c r="A27" s="55">
        <v>9</v>
      </c>
      <c r="B27" s="56" t="str">
        <f t="shared" si="0"/>
        <v>Montag</v>
      </c>
      <c r="C27" s="4">
        <v>0.35416666666666669</v>
      </c>
      <c r="D27" s="4">
        <v>0.70833333333333337</v>
      </c>
      <c r="E27" s="4">
        <v>2.0833333333333332E-2</v>
      </c>
      <c r="F27" s="346">
        <f t="shared" si="5"/>
        <v>0.33333333333333337</v>
      </c>
      <c r="G27" s="347"/>
      <c r="H27" s="212">
        <f t="shared" si="2"/>
        <v>0.33333333333333331</v>
      </c>
      <c r="I27" s="195" t="str">
        <f t="shared" si="3"/>
        <v/>
      </c>
      <c r="J27" s="5" t="str">
        <f t="shared" si="4"/>
        <v/>
      </c>
      <c r="K27" s="8" t="str">
        <f>IF(AND(B27="Sonntag",SUM(I21:I27)&lt;SUM(J21:J27)),"-","")</f>
        <v/>
      </c>
      <c r="L27" s="9" t="str">
        <f>IF(B27="Sonntag",ABS(SUM(I21:I27)-SUM(J21:J27)),"")</f>
        <v/>
      </c>
    </row>
    <row r="28" spans="1:14" ht="17.399999999999999" customHeight="1" x14ac:dyDescent="0.25">
      <c r="A28" s="55">
        <v>10</v>
      </c>
      <c r="B28" s="56" t="str">
        <f t="shared" si="0"/>
        <v>Dienstag</v>
      </c>
      <c r="C28" s="4">
        <v>0.35416666666666669</v>
      </c>
      <c r="D28" s="4">
        <v>0.70833333333333337</v>
      </c>
      <c r="E28" s="4">
        <v>2.0833333333333332E-2</v>
      </c>
      <c r="F28" s="346">
        <f t="shared" si="5"/>
        <v>0.33333333333333337</v>
      </c>
      <c r="G28" s="347"/>
      <c r="H28" s="212">
        <f t="shared" si="2"/>
        <v>0.33333333333333331</v>
      </c>
      <c r="I28" s="195" t="str">
        <f t="shared" si="3"/>
        <v/>
      </c>
      <c r="J28" s="5" t="str">
        <f t="shared" si="4"/>
        <v/>
      </c>
      <c r="K28" s="8" t="str">
        <f t="shared" ref="K28:K47" si="6">IF(AND(B28="Sonntag",SUM(I22:I28)&lt;SUM(J22:J28)),"-","")</f>
        <v/>
      </c>
      <c r="L28" s="9" t="str">
        <f t="shared" ref="L28:L47" si="7">IF(B28="Sonntag",ABS(SUM(I22:I28)-SUM(J22:J28)),"")</f>
        <v/>
      </c>
    </row>
    <row r="29" spans="1:14" ht="17.399999999999999" customHeight="1" x14ac:dyDescent="0.25">
      <c r="A29" s="55">
        <v>11</v>
      </c>
      <c r="B29" s="56" t="str">
        <f t="shared" si="0"/>
        <v>Mittwoch</v>
      </c>
      <c r="C29" s="4">
        <v>0.35416666666666669</v>
      </c>
      <c r="D29" s="4">
        <v>0.70833333333333337</v>
      </c>
      <c r="E29" s="4">
        <v>2.0833333333333332E-2</v>
      </c>
      <c r="F29" s="346">
        <f t="shared" si="5"/>
        <v>0.33333333333333337</v>
      </c>
      <c r="G29" s="347"/>
      <c r="H29" s="212">
        <f t="shared" si="2"/>
        <v>0.33333333333333331</v>
      </c>
      <c r="I29" s="195" t="str">
        <f t="shared" si="3"/>
        <v/>
      </c>
      <c r="J29" s="5" t="str">
        <f t="shared" si="4"/>
        <v/>
      </c>
      <c r="K29" s="8" t="str">
        <f t="shared" si="6"/>
        <v/>
      </c>
      <c r="L29" s="9" t="str">
        <f t="shared" si="7"/>
        <v/>
      </c>
      <c r="N29" s="170"/>
    </row>
    <row r="30" spans="1:14" ht="17.399999999999999" customHeight="1" x14ac:dyDescent="0.25">
      <c r="A30" s="55">
        <v>12</v>
      </c>
      <c r="B30" s="56" t="str">
        <f t="shared" si="0"/>
        <v>Donnerstag</v>
      </c>
      <c r="C30" s="4">
        <v>0.35416666666666669</v>
      </c>
      <c r="D30" s="4">
        <v>0.70833333333333337</v>
      </c>
      <c r="E30" s="4">
        <v>2.0833333333333332E-2</v>
      </c>
      <c r="F30" s="346">
        <f t="shared" si="5"/>
        <v>0.33333333333333337</v>
      </c>
      <c r="G30" s="347"/>
      <c r="H30" s="212">
        <f t="shared" si="2"/>
        <v>0.33333333333333331</v>
      </c>
      <c r="I30" s="195" t="str">
        <f t="shared" si="3"/>
        <v/>
      </c>
      <c r="J30" s="5" t="str">
        <f t="shared" si="4"/>
        <v/>
      </c>
      <c r="K30" s="8" t="str">
        <f t="shared" si="6"/>
        <v/>
      </c>
      <c r="L30" s="9" t="str">
        <f t="shared" si="7"/>
        <v/>
      </c>
      <c r="N30" s="170"/>
    </row>
    <row r="31" spans="1:14" ht="17.399999999999999" customHeight="1" x14ac:dyDescent="0.25">
      <c r="A31" s="55">
        <v>13</v>
      </c>
      <c r="B31" s="56" t="str">
        <f t="shared" si="0"/>
        <v>Freitag</v>
      </c>
      <c r="C31" s="4">
        <v>0.35416666666666669</v>
      </c>
      <c r="D31" s="4">
        <v>0.70833333333333337</v>
      </c>
      <c r="E31" s="4">
        <v>2.0833333333333332E-2</v>
      </c>
      <c r="F31" s="346">
        <f t="shared" si="5"/>
        <v>0.33333333333333337</v>
      </c>
      <c r="G31" s="347"/>
      <c r="H31" s="212">
        <f t="shared" si="2"/>
        <v>0.3125</v>
      </c>
      <c r="I31" s="195">
        <f t="shared" si="3"/>
        <v>2.083333333333337E-2</v>
      </c>
      <c r="J31" s="5" t="str">
        <f t="shared" si="4"/>
        <v/>
      </c>
      <c r="K31" s="8" t="str">
        <f t="shared" si="6"/>
        <v/>
      </c>
      <c r="L31" s="9" t="str">
        <f t="shared" si="7"/>
        <v/>
      </c>
      <c r="N31" s="170"/>
    </row>
    <row r="32" spans="1:14" ht="17.399999999999999" customHeight="1" x14ac:dyDescent="0.25">
      <c r="A32" s="55">
        <v>14</v>
      </c>
      <c r="B32" s="56" t="str">
        <f t="shared" si="0"/>
        <v>Samstag</v>
      </c>
      <c r="C32" s="4">
        <v>0.35416666666666669</v>
      </c>
      <c r="D32" s="4">
        <v>0.70833333333333337</v>
      </c>
      <c r="E32" s="4">
        <v>2.0833333333333332E-2</v>
      </c>
      <c r="F32" s="346">
        <f t="shared" si="5"/>
        <v>0.33333333333333337</v>
      </c>
      <c r="G32" s="347"/>
      <c r="H32" s="212">
        <f t="shared" si="2"/>
        <v>0</v>
      </c>
      <c r="I32" s="195" t="str">
        <f t="shared" si="3"/>
        <v/>
      </c>
      <c r="J32" s="5" t="str">
        <f t="shared" si="4"/>
        <v/>
      </c>
      <c r="K32" s="8" t="str">
        <f>IF(AND(B32="Sonntag",SUM(I26:I32)&lt;SUM(J26:J32)),"-","")</f>
        <v/>
      </c>
      <c r="L32" s="9" t="str">
        <f>IF(B32="Sonntag",ABS(SUM(I26:I32)-SUM(J26:J32)),"")</f>
        <v/>
      </c>
      <c r="N32" s="170"/>
    </row>
    <row r="33" spans="1:14" ht="17.399999999999999" customHeight="1" x14ac:dyDescent="0.25">
      <c r="A33" s="55">
        <v>15</v>
      </c>
      <c r="B33" s="56" t="str">
        <f t="shared" si="0"/>
        <v>Sonntag</v>
      </c>
      <c r="C33" s="4">
        <v>0.35416666666666669</v>
      </c>
      <c r="D33" s="4">
        <v>0.70833333333333337</v>
      </c>
      <c r="E33" s="4">
        <v>2.0833333333333332E-2</v>
      </c>
      <c r="F33" s="346">
        <f t="shared" si="5"/>
        <v>0.33333333333333337</v>
      </c>
      <c r="G33" s="347"/>
      <c r="H33" s="212">
        <f t="shared" si="2"/>
        <v>0</v>
      </c>
      <c r="I33" s="195" t="str">
        <f t="shared" si="3"/>
        <v/>
      </c>
      <c r="J33" s="5" t="str">
        <f t="shared" si="4"/>
        <v/>
      </c>
      <c r="K33" s="8" t="str">
        <f t="shared" si="6"/>
        <v/>
      </c>
      <c r="L33" s="9">
        <f t="shared" si="7"/>
        <v>2.083333333333337E-2</v>
      </c>
      <c r="N33" s="170"/>
    </row>
    <row r="34" spans="1:14" ht="17.399999999999999" customHeight="1" x14ac:dyDescent="0.25">
      <c r="A34" s="55">
        <v>16</v>
      </c>
      <c r="B34" s="56" t="str">
        <f t="shared" si="0"/>
        <v>Montag</v>
      </c>
      <c r="C34" s="4">
        <v>0.35416666666666669</v>
      </c>
      <c r="D34" s="4">
        <v>0.70833333333333337</v>
      </c>
      <c r="E34" s="4">
        <v>2.0833333333333332E-2</v>
      </c>
      <c r="F34" s="346">
        <f t="shared" si="5"/>
        <v>0.33333333333333337</v>
      </c>
      <c r="G34" s="347"/>
      <c r="H34" s="212">
        <f t="shared" si="2"/>
        <v>0.33333333333333331</v>
      </c>
      <c r="I34" s="195" t="str">
        <f t="shared" si="3"/>
        <v/>
      </c>
      <c r="J34" s="5" t="str">
        <f t="shared" si="4"/>
        <v/>
      </c>
      <c r="K34" s="8" t="str">
        <f t="shared" si="6"/>
        <v/>
      </c>
      <c r="L34" s="9" t="str">
        <f t="shared" si="7"/>
        <v/>
      </c>
      <c r="N34" s="170"/>
    </row>
    <row r="35" spans="1:14" ht="17.399999999999999" customHeight="1" x14ac:dyDescent="0.25">
      <c r="A35" s="55">
        <v>17</v>
      </c>
      <c r="B35" s="56" t="str">
        <f t="shared" si="0"/>
        <v>Dienstag</v>
      </c>
      <c r="C35" s="4">
        <v>0.35416666666666669</v>
      </c>
      <c r="D35" s="4">
        <v>0.70833333333333337</v>
      </c>
      <c r="E35" s="4">
        <v>2.0833333333333332E-2</v>
      </c>
      <c r="F35" s="346">
        <f t="shared" si="5"/>
        <v>0.33333333333333337</v>
      </c>
      <c r="G35" s="347"/>
      <c r="H35" s="212">
        <f t="shared" si="2"/>
        <v>0.33333333333333331</v>
      </c>
      <c r="I35" s="195" t="str">
        <f t="shared" si="3"/>
        <v/>
      </c>
      <c r="J35" s="5" t="str">
        <f t="shared" si="4"/>
        <v/>
      </c>
      <c r="K35" s="8" t="str">
        <f t="shared" si="6"/>
        <v/>
      </c>
      <c r="L35" s="9" t="str">
        <f t="shared" si="7"/>
        <v/>
      </c>
      <c r="N35" s="170"/>
    </row>
    <row r="36" spans="1:14" ht="17.399999999999999" customHeight="1" x14ac:dyDescent="0.25">
      <c r="A36" s="55">
        <v>18</v>
      </c>
      <c r="B36" s="56" t="str">
        <f t="shared" si="0"/>
        <v>Mittwoch</v>
      </c>
      <c r="C36" s="4">
        <v>0.35416666666666669</v>
      </c>
      <c r="D36" s="4">
        <v>0.70833333333333337</v>
      </c>
      <c r="E36" s="4">
        <v>2.0833333333333332E-2</v>
      </c>
      <c r="F36" s="346">
        <f t="shared" si="5"/>
        <v>0.33333333333333337</v>
      </c>
      <c r="G36" s="347"/>
      <c r="H36" s="212">
        <f t="shared" si="2"/>
        <v>0.33333333333333331</v>
      </c>
      <c r="I36" s="195" t="str">
        <f t="shared" si="3"/>
        <v/>
      </c>
      <c r="J36" s="5" t="str">
        <f t="shared" si="4"/>
        <v/>
      </c>
      <c r="K36" s="8" t="str">
        <f t="shared" si="6"/>
        <v/>
      </c>
      <c r="L36" s="9" t="str">
        <f t="shared" si="7"/>
        <v/>
      </c>
      <c r="N36" s="170"/>
    </row>
    <row r="37" spans="1:14" ht="17.399999999999999" customHeight="1" x14ac:dyDescent="0.25">
      <c r="A37" s="55">
        <v>19</v>
      </c>
      <c r="B37" s="56" t="str">
        <f t="shared" si="0"/>
        <v>Donnerstag</v>
      </c>
      <c r="C37" s="4">
        <v>0.35416666666666669</v>
      </c>
      <c r="D37" s="4">
        <v>0.70833333333333337</v>
      </c>
      <c r="E37" s="4">
        <v>2.0833333333333332E-2</v>
      </c>
      <c r="F37" s="346">
        <f t="shared" si="5"/>
        <v>0.33333333333333337</v>
      </c>
      <c r="G37" s="347"/>
      <c r="H37" s="212">
        <f t="shared" si="2"/>
        <v>0.33333333333333331</v>
      </c>
      <c r="I37" s="195" t="str">
        <f t="shared" si="3"/>
        <v/>
      </c>
      <c r="J37" s="5" t="str">
        <f t="shared" si="4"/>
        <v/>
      </c>
      <c r="K37" s="8" t="str">
        <f t="shared" si="6"/>
        <v/>
      </c>
      <c r="L37" s="9" t="str">
        <f t="shared" si="7"/>
        <v/>
      </c>
      <c r="N37" s="170"/>
    </row>
    <row r="38" spans="1:14" ht="17.399999999999999" customHeight="1" x14ac:dyDescent="0.25">
      <c r="A38" s="55">
        <v>20</v>
      </c>
      <c r="B38" s="56" t="str">
        <f t="shared" si="0"/>
        <v>Freitag</v>
      </c>
      <c r="C38" s="4">
        <v>0.35416666666666669</v>
      </c>
      <c r="D38" s="4">
        <v>0.70833333333333337</v>
      </c>
      <c r="E38" s="4">
        <v>2.0833333333333332E-2</v>
      </c>
      <c r="F38" s="346">
        <f t="shared" si="5"/>
        <v>0.33333333333333337</v>
      </c>
      <c r="G38" s="347"/>
      <c r="H38" s="212">
        <f t="shared" si="2"/>
        <v>0.3125</v>
      </c>
      <c r="I38" s="195">
        <f t="shared" si="3"/>
        <v>2.083333333333337E-2</v>
      </c>
      <c r="J38" s="5" t="str">
        <f t="shared" si="4"/>
        <v/>
      </c>
      <c r="K38" s="8" t="str">
        <f t="shared" si="6"/>
        <v/>
      </c>
      <c r="L38" s="9" t="str">
        <f t="shared" si="7"/>
        <v/>
      </c>
      <c r="N38" s="170"/>
    </row>
    <row r="39" spans="1:14" ht="17.399999999999999" customHeight="1" x14ac:dyDescent="0.25">
      <c r="A39" s="55">
        <v>21</v>
      </c>
      <c r="B39" s="56" t="str">
        <f t="shared" si="0"/>
        <v>Samstag</v>
      </c>
      <c r="C39" s="4">
        <v>0.35416666666666669</v>
      </c>
      <c r="D39" s="4">
        <v>0.70833333333333337</v>
      </c>
      <c r="E39" s="4">
        <v>2.0833333333333332E-2</v>
      </c>
      <c r="F39" s="346">
        <f t="shared" si="5"/>
        <v>0.33333333333333337</v>
      </c>
      <c r="G39" s="347"/>
      <c r="H39" s="212">
        <f t="shared" si="2"/>
        <v>0</v>
      </c>
      <c r="I39" s="195" t="str">
        <f t="shared" si="3"/>
        <v/>
      </c>
      <c r="J39" s="5" t="str">
        <f t="shared" si="4"/>
        <v/>
      </c>
      <c r="K39" s="8" t="str">
        <f t="shared" si="6"/>
        <v/>
      </c>
      <c r="L39" s="9" t="str">
        <f t="shared" si="7"/>
        <v/>
      </c>
      <c r="N39" s="170"/>
    </row>
    <row r="40" spans="1:14" ht="17.399999999999999" customHeight="1" x14ac:dyDescent="0.25">
      <c r="A40" s="55">
        <v>22</v>
      </c>
      <c r="B40" s="56" t="str">
        <f t="shared" si="0"/>
        <v>Sonntag</v>
      </c>
      <c r="C40" s="4">
        <v>0.35416666666666669</v>
      </c>
      <c r="D40" s="4">
        <v>0.70833333333333337</v>
      </c>
      <c r="E40" s="4">
        <v>2.0833333333333332E-2</v>
      </c>
      <c r="F40" s="346">
        <f t="shared" si="5"/>
        <v>0.33333333333333337</v>
      </c>
      <c r="G40" s="347"/>
      <c r="H40" s="212">
        <f t="shared" si="2"/>
        <v>0</v>
      </c>
      <c r="I40" s="195" t="str">
        <f t="shared" si="3"/>
        <v/>
      </c>
      <c r="J40" s="5" t="str">
        <f t="shared" si="4"/>
        <v/>
      </c>
      <c r="K40" s="8" t="str">
        <f>IF(AND(B40="Sonntag",SUM(I34:I40)&lt;SUM(J34:J40)),"-","")</f>
        <v/>
      </c>
      <c r="L40" s="9">
        <f>IF(B40="Sonntag",ABS(SUM(I34:I40)-SUM(J34:J40)),"")</f>
        <v>2.083333333333337E-2</v>
      </c>
      <c r="N40" s="170"/>
    </row>
    <row r="41" spans="1:14" ht="17.399999999999999" customHeight="1" x14ac:dyDescent="0.25">
      <c r="A41" s="55">
        <v>23</v>
      </c>
      <c r="B41" s="56" t="str">
        <f t="shared" si="0"/>
        <v>Montag</v>
      </c>
      <c r="C41" s="4">
        <v>0.35416666666666669</v>
      </c>
      <c r="D41" s="4">
        <v>0.70833333333333337</v>
      </c>
      <c r="E41" s="4">
        <v>2.0833333333333332E-2</v>
      </c>
      <c r="F41" s="346">
        <f t="shared" si="5"/>
        <v>0.33333333333333337</v>
      </c>
      <c r="G41" s="347"/>
      <c r="H41" s="212">
        <f t="shared" si="2"/>
        <v>0.33333333333333331</v>
      </c>
      <c r="I41" s="195" t="str">
        <f t="shared" si="3"/>
        <v/>
      </c>
      <c r="J41" s="5" t="str">
        <f t="shared" si="4"/>
        <v/>
      </c>
      <c r="K41" s="8" t="str">
        <f t="shared" si="6"/>
        <v/>
      </c>
      <c r="L41" s="9" t="str">
        <f t="shared" si="7"/>
        <v/>
      </c>
      <c r="N41" s="170"/>
    </row>
    <row r="42" spans="1:14" ht="17.399999999999999" customHeight="1" x14ac:dyDescent="0.25">
      <c r="A42" s="55">
        <v>24</v>
      </c>
      <c r="B42" s="56" t="str">
        <f t="shared" si="0"/>
        <v>Dienstag</v>
      </c>
      <c r="C42" s="4">
        <v>0.35416666666666669</v>
      </c>
      <c r="D42" s="4">
        <v>0.70833333333333337</v>
      </c>
      <c r="E42" s="4">
        <v>2.0833333333333332E-2</v>
      </c>
      <c r="F42" s="346">
        <f t="shared" si="5"/>
        <v>0.33333333333333337</v>
      </c>
      <c r="G42" s="347"/>
      <c r="H42" s="212">
        <f t="shared" si="2"/>
        <v>0.33333333333333331</v>
      </c>
      <c r="I42" s="195" t="str">
        <f t="shared" si="3"/>
        <v/>
      </c>
      <c r="J42" s="5" t="str">
        <f t="shared" si="4"/>
        <v/>
      </c>
      <c r="K42" s="8" t="str">
        <f t="shared" si="6"/>
        <v/>
      </c>
      <c r="L42" s="9" t="str">
        <f t="shared" si="7"/>
        <v/>
      </c>
      <c r="N42" s="170"/>
    </row>
    <row r="43" spans="1:14" ht="17.399999999999999" customHeight="1" x14ac:dyDescent="0.25">
      <c r="A43" s="55">
        <v>25</v>
      </c>
      <c r="B43" s="56" t="str">
        <f t="shared" si="0"/>
        <v>Mittwoch</v>
      </c>
      <c r="C43" s="4">
        <v>0.35416666666666669</v>
      </c>
      <c r="D43" s="4">
        <v>0.70833333333333337</v>
      </c>
      <c r="E43" s="4">
        <v>2.0833333333333332E-2</v>
      </c>
      <c r="F43" s="346">
        <f t="shared" si="5"/>
        <v>0.33333333333333337</v>
      </c>
      <c r="G43" s="347"/>
      <c r="H43" s="212">
        <f t="shared" si="2"/>
        <v>0.33333333333333331</v>
      </c>
      <c r="I43" s="195" t="str">
        <f t="shared" si="3"/>
        <v/>
      </c>
      <c r="J43" s="5" t="str">
        <f t="shared" si="4"/>
        <v/>
      </c>
      <c r="K43" s="8" t="str">
        <f t="shared" si="6"/>
        <v/>
      </c>
      <c r="L43" s="9" t="str">
        <f t="shared" si="7"/>
        <v/>
      </c>
      <c r="N43" s="170"/>
    </row>
    <row r="44" spans="1:14" ht="17.399999999999999" customHeight="1" x14ac:dyDescent="0.25">
      <c r="A44" s="55">
        <v>26</v>
      </c>
      <c r="B44" s="56" t="str">
        <f t="shared" si="0"/>
        <v>Donnerstag</v>
      </c>
      <c r="C44" s="4">
        <v>0.35416666666666669</v>
      </c>
      <c r="D44" s="4">
        <v>0.70833333333333337</v>
      </c>
      <c r="E44" s="4">
        <v>2.0833333333333332E-2</v>
      </c>
      <c r="F44" s="346">
        <f t="shared" si="5"/>
        <v>0.33333333333333337</v>
      </c>
      <c r="G44" s="347"/>
      <c r="H44" s="212">
        <f t="shared" si="2"/>
        <v>0.33333333333333331</v>
      </c>
      <c r="I44" s="195" t="str">
        <f t="shared" si="3"/>
        <v/>
      </c>
      <c r="J44" s="5" t="str">
        <f t="shared" si="4"/>
        <v/>
      </c>
      <c r="K44" s="8" t="str">
        <f t="shared" si="6"/>
        <v/>
      </c>
      <c r="L44" s="9" t="str">
        <f t="shared" si="7"/>
        <v/>
      </c>
      <c r="N44" s="170"/>
    </row>
    <row r="45" spans="1:14" ht="17.399999999999999" customHeight="1" x14ac:dyDescent="0.25">
      <c r="A45" s="55">
        <v>27</v>
      </c>
      <c r="B45" s="56" t="str">
        <f t="shared" si="0"/>
        <v>Freitag</v>
      </c>
      <c r="C45" s="4">
        <v>0.35416666666666669</v>
      </c>
      <c r="D45" s="4">
        <v>0.70833333333333337</v>
      </c>
      <c r="E45" s="4">
        <v>2.0833333333333332E-2</v>
      </c>
      <c r="F45" s="346">
        <f t="shared" si="5"/>
        <v>0.33333333333333337</v>
      </c>
      <c r="G45" s="347"/>
      <c r="H45" s="212">
        <f t="shared" si="2"/>
        <v>0.3125</v>
      </c>
      <c r="I45" s="195">
        <f t="shared" si="3"/>
        <v>2.083333333333337E-2</v>
      </c>
      <c r="J45" s="5" t="str">
        <f t="shared" si="4"/>
        <v/>
      </c>
      <c r="K45" s="8" t="str">
        <f t="shared" si="6"/>
        <v/>
      </c>
      <c r="L45" s="9" t="str">
        <f t="shared" si="7"/>
        <v/>
      </c>
      <c r="N45" s="170"/>
    </row>
    <row r="46" spans="1:14" ht="17.399999999999999" customHeight="1" x14ac:dyDescent="0.25">
      <c r="A46" s="55">
        <v>28</v>
      </c>
      <c r="B46" s="56" t="str">
        <f t="shared" si="0"/>
        <v>Samstag</v>
      </c>
      <c r="C46" s="4">
        <v>0.35416666666666669</v>
      </c>
      <c r="D46" s="4">
        <v>0.70833333333333337</v>
      </c>
      <c r="E46" s="4">
        <v>2.0833333333333332E-2</v>
      </c>
      <c r="F46" s="346">
        <f t="shared" si="5"/>
        <v>0.33333333333333337</v>
      </c>
      <c r="G46" s="347"/>
      <c r="H46" s="212">
        <f t="shared" si="2"/>
        <v>0</v>
      </c>
      <c r="I46" s="195" t="str">
        <f t="shared" si="3"/>
        <v/>
      </c>
      <c r="J46" s="5" t="str">
        <f t="shared" si="4"/>
        <v/>
      </c>
      <c r="K46" s="8" t="str">
        <f t="shared" si="6"/>
        <v/>
      </c>
      <c r="L46" s="9" t="str">
        <f t="shared" si="7"/>
        <v/>
      </c>
      <c r="N46" s="170"/>
    </row>
    <row r="47" spans="1:14" ht="17.399999999999999" customHeight="1" x14ac:dyDescent="0.25">
      <c r="A47" s="55">
        <v>29</v>
      </c>
      <c r="B47" s="56" t="str">
        <f t="shared" si="0"/>
        <v>Sonntag</v>
      </c>
      <c r="C47" s="4">
        <v>0.35416666666666669</v>
      </c>
      <c r="D47" s="4">
        <v>0.70833333333333337</v>
      </c>
      <c r="E47" s="4">
        <v>2.0833333333333332E-2</v>
      </c>
      <c r="F47" s="346">
        <f t="shared" si="5"/>
        <v>0.33333333333333337</v>
      </c>
      <c r="G47" s="347"/>
      <c r="H47" s="212">
        <f t="shared" si="2"/>
        <v>0</v>
      </c>
      <c r="I47" s="195" t="str">
        <f t="shared" si="3"/>
        <v/>
      </c>
      <c r="J47" s="5" t="str">
        <f t="shared" si="4"/>
        <v/>
      </c>
      <c r="K47" s="8" t="str">
        <f t="shared" si="6"/>
        <v/>
      </c>
      <c r="L47" s="9">
        <f t="shared" si="7"/>
        <v>2.083333333333337E-2</v>
      </c>
      <c r="N47" s="170"/>
    </row>
    <row r="48" spans="1:14" ht="17.399999999999999" customHeight="1" x14ac:dyDescent="0.3">
      <c r="A48" s="55">
        <v>30</v>
      </c>
      <c r="B48" s="56" t="str">
        <f t="shared" si="0"/>
        <v>Montag</v>
      </c>
      <c r="C48" s="4">
        <v>0.35416666666666669</v>
      </c>
      <c r="D48" s="4">
        <v>0.70833333333333337</v>
      </c>
      <c r="E48" s="4">
        <v>2.0833333333333332E-2</v>
      </c>
      <c r="F48" s="346">
        <f t="shared" si="5"/>
        <v>0.33333333333333337</v>
      </c>
      <c r="G48" s="347"/>
      <c r="H48" s="212">
        <f t="shared" si="2"/>
        <v>0.33333333333333331</v>
      </c>
      <c r="I48" s="195" t="str">
        <f t="shared" si="3"/>
        <v/>
      </c>
      <c r="J48" s="5" t="str">
        <f t="shared" si="4"/>
        <v/>
      </c>
      <c r="K48" s="10" t="str">
        <f ca="1">IF(SUM(INDIRECT("I"&amp;ROW()-WEEKDAY(CONCATENATE(A48,".",I$11," ",J$11),3)):I49) &lt; SUM(INDIRECT("j"&amp;ROW()-WEEKDAY(CONCATENATE(A48,".",I$11," ",J$11),3)):J49),"-","")</f>
        <v/>
      </c>
      <c r="L48" s="11">
        <f ca="1">ABS(SUM(INDIRECT("I"&amp;ROW()-WEEKDAY(CONCATENATE(A48,".",I$11," ",J$11),3)):I49)-SUM(INDIRECT("j"&amp;ROW()-WEEKDAY(CONCATENATE(A48,".",I$11," ",J$11),3)):J49))</f>
        <v>0</v>
      </c>
      <c r="N48" s="170"/>
    </row>
    <row r="49" spans="1:14" ht="17.399999999999999" customHeight="1" x14ac:dyDescent="0.25">
      <c r="A49" s="81"/>
      <c r="B49" s="99"/>
      <c r="C49" s="168"/>
      <c r="D49" s="168"/>
      <c r="E49" s="168"/>
      <c r="F49" s="391"/>
      <c r="G49" s="392"/>
      <c r="H49" s="149"/>
      <c r="I49" s="195"/>
      <c r="J49" s="100"/>
      <c r="K49" s="13"/>
      <c r="L49" s="14"/>
      <c r="N49" s="170"/>
    </row>
    <row r="50" spans="1:14" s="68" customFormat="1" ht="17.399999999999999" customHeight="1" thickBot="1" x14ac:dyDescent="0.3">
      <c r="A50" s="59" t="str">
        <f>Jan!A50</f>
        <v>Sonstige Zeiten laut beigefügter Aufstellung (s. Anlage):</v>
      </c>
      <c r="B50" s="88"/>
      <c r="C50" s="89"/>
      <c r="D50" s="62"/>
      <c r="E50" s="62"/>
      <c r="F50" s="62"/>
      <c r="G50" s="62"/>
      <c r="H50" s="63"/>
      <c r="I50" s="219">
        <v>0</v>
      </c>
      <c r="J50" s="220">
        <v>0</v>
      </c>
      <c r="K50" s="66"/>
      <c r="L50" s="67"/>
      <c r="M50" s="171"/>
      <c r="N50" s="171"/>
    </row>
    <row r="51" spans="1:14" x14ac:dyDescent="0.25">
      <c r="A51" s="350" t="s">
        <v>3</v>
      </c>
      <c r="B51" s="350"/>
      <c r="C51" s="350"/>
      <c r="D51" s="350"/>
      <c r="H51" s="69">
        <f>Aug!H51</f>
        <v>0.33333333333333331</v>
      </c>
      <c r="I51" s="351">
        <f>SUM(I17:I50)</f>
        <v>0.79166666666666807</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Aug!H52</f>
        <v>0.33333333333333331</v>
      </c>
      <c r="I52" s="352"/>
      <c r="J52" s="352"/>
      <c r="K52" s="334"/>
      <c r="L52" s="336"/>
    </row>
    <row r="53" spans="1:14" x14ac:dyDescent="0.25">
      <c r="A53" s="339"/>
      <c r="B53" s="339"/>
      <c r="C53" s="339"/>
      <c r="D53" s="339"/>
      <c r="G53" s="71"/>
      <c r="H53" s="69">
        <f>Aug!H53</f>
        <v>0.33333333333333331</v>
      </c>
      <c r="I53" s="344">
        <f>IF(I51&gt;J51,I51-J51,0)</f>
        <v>0.79166666666666807</v>
      </c>
      <c r="J53" s="342" t="str">
        <f>IF(J51&gt;I51,J51-I51,"")</f>
        <v/>
      </c>
      <c r="K53" s="231"/>
      <c r="L53" s="231"/>
    </row>
    <row r="54" spans="1:14" ht="13.5" thickBot="1" x14ac:dyDescent="0.35">
      <c r="A54" s="341" t="s">
        <v>15</v>
      </c>
      <c r="B54" s="341"/>
      <c r="C54" s="341"/>
      <c r="D54" s="341"/>
      <c r="E54" s="72"/>
      <c r="F54" s="72"/>
      <c r="G54" s="70" t="s">
        <v>13</v>
      </c>
      <c r="H54" s="69">
        <f>Aug!H54</f>
        <v>0.33333333333333331</v>
      </c>
      <c r="I54" s="345"/>
      <c r="J54" s="343"/>
      <c r="K54" s="231"/>
      <c r="L54" s="231"/>
    </row>
    <row r="55" spans="1:14" x14ac:dyDescent="0.25">
      <c r="A55" s="338" t="s">
        <v>4</v>
      </c>
      <c r="B55" s="338"/>
      <c r="C55" s="338"/>
      <c r="D55" s="338"/>
      <c r="E55" s="250" t="str">
        <f>IF(E56=" ", " ", "VERFALL  VORJAHRESURLAUB")</f>
        <v xml:space="preserve"> </v>
      </c>
      <c r="F55" s="251"/>
      <c r="G55" s="251"/>
      <c r="H55" s="69">
        <f>Aug!H55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IF(Mantelbogen!D26=I11,Mantelbogen!C29,Aug!G58))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2">
    <mergeCell ref="A54:D54"/>
    <mergeCell ref="G60:I60"/>
    <mergeCell ref="A55:D55"/>
    <mergeCell ref="A56:D57"/>
    <mergeCell ref="I56:J58"/>
    <mergeCell ref="A58:D58"/>
    <mergeCell ref="J53:J54"/>
    <mergeCell ref="I53:I54"/>
    <mergeCell ref="F48:G48"/>
    <mergeCell ref="F49:G49"/>
    <mergeCell ref="A51:D51"/>
    <mergeCell ref="I51:I52"/>
    <mergeCell ref="J51:J52"/>
    <mergeCell ref="A52:D53"/>
    <mergeCell ref="F47:G47"/>
    <mergeCell ref="F36:G36"/>
    <mergeCell ref="F37:G37"/>
    <mergeCell ref="F38:G38"/>
    <mergeCell ref="F39:G39"/>
    <mergeCell ref="F40:G40"/>
    <mergeCell ref="F41:G41"/>
    <mergeCell ref="F42:G42"/>
    <mergeCell ref="F43:G43"/>
    <mergeCell ref="F44:G44"/>
    <mergeCell ref="F45:G45"/>
    <mergeCell ref="F46:G46"/>
    <mergeCell ref="F21:G21"/>
    <mergeCell ref="H15:H18"/>
    <mergeCell ref="F22:G22"/>
    <mergeCell ref="F35:G35"/>
    <mergeCell ref="F24:G24"/>
    <mergeCell ref="F25:G25"/>
    <mergeCell ref="F26:G26"/>
    <mergeCell ref="F27:G27"/>
    <mergeCell ref="F28:G28"/>
    <mergeCell ref="F29:G29"/>
    <mergeCell ref="F30:G30"/>
    <mergeCell ref="F31:G31"/>
    <mergeCell ref="F32:G32"/>
    <mergeCell ref="F33:G33"/>
    <mergeCell ref="F34:G34"/>
    <mergeCell ref="D15:D18"/>
    <mergeCell ref="E15:E18"/>
    <mergeCell ref="F15:G18"/>
    <mergeCell ref="F19:G19"/>
    <mergeCell ref="F20:G20"/>
    <mergeCell ref="K51:K52"/>
    <mergeCell ref="L51:L52"/>
    <mergeCell ref="G1:J7"/>
    <mergeCell ref="C3:D3"/>
    <mergeCell ref="A4:E6"/>
    <mergeCell ref="A11:B11"/>
    <mergeCell ref="A13:B13"/>
    <mergeCell ref="A15:A18"/>
    <mergeCell ref="I15:J15"/>
    <mergeCell ref="I17:I18"/>
    <mergeCell ref="J17:J18"/>
    <mergeCell ref="K15:L16"/>
    <mergeCell ref="K17:L18"/>
    <mergeCell ref="F23:G23"/>
    <mergeCell ref="B15:B18"/>
    <mergeCell ref="C15:C18"/>
  </mergeCells>
  <phoneticPr fontId="0" type="noConversion"/>
  <conditionalFormatting sqref="C19:C49">
    <cfRule type="expression" dxfId="27" priority="2">
      <formula>ISTEXT($C19)</formula>
    </cfRule>
  </conditionalFormatting>
  <conditionalFormatting sqref="A19:L49">
    <cfRule type="expression" dxfId="26" priority="1">
      <formula>OR($B19="Samstag", $B19="Sonntag", NOT( ISERROR(FIND("feiertag",LOWER($C19)) ) ) )</formula>
    </cfRule>
  </conditionalFormatting>
  <conditionalFormatting sqref="F19:F49">
    <cfRule type="expression" dxfId="25" priority="33">
      <formula>AND(ISNONTEXT($C19),$F19 &gt; 0.666667)</formula>
    </cfRule>
  </conditionalFormatting>
  <conditionalFormatting sqref="E19:E49">
    <cfRule type="expression" dxfId="24" priority="10">
      <formula>AND(ISNONTEXT($C19), OR(AND($F19 &gt; 0.250001, $E19 &lt; 0.020833332), AND($F19 &gt; 0.375, $E19 &lt; 0.03124999)  ) )</formula>
    </cfRule>
  </conditionalFormatting>
  <conditionalFormatting sqref="C19:I49">
    <cfRule type="expression" dxfId="23" priority="4">
      <formula>AND($B19="Samstag", $H$56&gt;0.00001)</formula>
    </cfRule>
    <cfRule type="expression" dxfId="22" priority="5">
      <formula>AND($B19="Sonntag", $H$57&gt;0.00001)</formula>
    </cfRule>
  </conditionalFormatting>
  <conditionalFormatting sqref="C19:J49">
    <cfRule type="expression" dxfId="21"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Q62"/>
  <sheetViews>
    <sheetView topLeftCell="A34" zoomScaleNormal="100" workbookViewId="0">
      <selection activeCell="I56" sqref="I56:J58"/>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36328125" style="18" customWidth="1"/>
    <col min="8" max="8" width="9.08984375" style="18" customWidth="1"/>
    <col min="9" max="9" width="10.36328125" style="18" customWidth="1"/>
    <col min="10" max="10" width="10.08984375" style="18" customWidth="1"/>
    <col min="11" max="11" width="2.90625" style="18" customWidth="1"/>
    <col min="12" max="12" width="9" style="18" customWidth="1"/>
    <col min="13" max="13" width="16.36328125" style="170" customWidth="1"/>
    <col min="14" max="14" width="18.1796875" style="18" customWidth="1"/>
    <col min="15" max="16384" width="11.54296875" style="18"/>
  </cols>
  <sheetData>
    <row r="1" spans="1:12" ht="15.5" x14ac:dyDescent="0.35">
      <c r="A1" s="15" t="s">
        <v>72</v>
      </c>
      <c r="B1" s="15"/>
      <c r="C1" s="15"/>
      <c r="D1" s="15"/>
      <c r="E1" s="15"/>
      <c r="F1" s="17"/>
      <c r="G1" s="359" t="s">
        <v>9</v>
      </c>
      <c r="H1" s="359"/>
      <c r="I1" s="359"/>
      <c r="J1" s="359"/>
    </row>
    <row r="2" spans="1:12" ht="15.5" x14ac:dyDescent="0.35">
      <c r="A2" s="15"/>
      <c r="B2" s="15"/>
      <c r="C2" s="15"/>
      <c r="D2" s="15"/>
      <c r="E2" s="15"/>
      <c r="F2" s="19"/>
      <c r="G2" s="359"/>
      <c r="H2" s="359"/>
      <c r="I2" s="359"/>
      <c r="J2" s="359"/>
    </row>
    <row r="3" spans="1:12" x14ac:dyDescent="0.25">
      <c r="C3" s="380" t="s">
        <v>11</v>
      </c>
      <c r="D3" s="380"/>
      <c r="G3" s="359"/>
      <c r="H3" s="359"/>
      <c r="I3" s="359"/>
      <c r="J3" s="359"/>
    </row>
    <row r="4" spans="1:12" ht="13.25" customHeight="1" x14ac:dyDescent="0.25">
      <c r="A4" s="361" t="s">
        <v>5</v>
      </c>
      <c r="B4" s="361"/>
      <c r="C4" s="361"/>
      <c r="D4" s="361"/>
      <c r="E4" s="361"/>
      <c r="F4" s="22"/>
      <c r="G4" s="359"/>
      <c r="H4" s="359"/>
      <c r="I4" s="359"/>
      <c r="J4" s="359"/>
    </row>
    <row r="5" spans="1:12" ht="6" customHeight="1" x14ac:dyDescent="0.25">
      <c r="A5" s="361"/>
      <c r="B5" s="361"/>
      <c r="C5" s="361"/>
      <c r="D5" s="361"/>
      <c r="E5" s="361"/>
      <c r="F5" s="22"/>
      <c r="G5" s="359"/>
      <c r="H5" s="359"/>
      <c r="I5" s="359"/>
      <c r="J5" s="359"/>
    </row>
    <row r="6" spans="1:12" ht="13.25" customHeight="1" x14ac:dyDescent="0.25">
      <c r="A6" s="361"/>
      <c r="B6" s="361"/>
      <c r="C6" s="361"/>
      <c r="D6" s="361"/>
      <c r="E6" s="361"/>
      <c r="F6" s="22"/>
      <c r="G6" s="359"/>
      <c r="H6" s="359"/>
      <c r="I6" s="359"/>
      <c r="J6" s="359"/>
    </row>
    <row r="7" spans="1:12" ht="13.25" customHeight="1" x14ac:dyDescent="0.25">
      <c r="A7" s="22"/>
      <c r="B7" s="22"/>
      <c r="C7" s="22"/>
      <c r="D7" s="22"/>
      <c r="E7" s="22"/>
      <c r="F7" s="22"/>
      <c r="G7" s="359"/>
      <c r="H7" s="359"/>
      <c r="I7" s="359"/>
      <c r="J7" s="359"/>
    </row>
    <row r="8" spans="1:12" ht="6" customHeight="1" thickBot="1" x14ac:dyDescent="0.3">
      <c r="A8" s="23"/>
      <c r="B8" s="24"/>
      <c r="C8" s="24"/>
      <c r="D8" s="24"/>
      <c r="E8" s="25"/>
      <c r="F8" s="25"/>
      <c r="G8" s="25"/>
      <c r="H8" s="25"/>
      <c r="I8" s="26"/>
      <c r="J8" s="26"/>
      <c r="K8" s="27"/>
      <c r="L8" s="28"/>
    </row>
    <row r="9" spans="1:12" ht="6" customHeight="1" x14ac:dyDescent="0.25">
      <c r="A9" s="29"/>
      <c r="B9" s="30"/>
      <c r="C9" s="30"/>
      <c r="D9" s="30"/>
      <c r="E9" s="31"/>
      <c r="F9" s="31"/>
      <c r="G9" s="31"/>
      <c r="H9" s="31"/>
      <c r="I9" s="32"/>
      <c r="J9" s="32"/>
      <c r="K9" s="33"/>
      <c r="L9" s="34"/>
    </row>
    <row r="10" spans="1:12" x14ac:dyDescent="0.25">
      <c r="A10" s="29"/>
      <c r="B10" s="30"/>
      <c r="C10" s="30"/>
      <c r="D10" s="30"/>
      <c r="E10" s="101"/>
      <c r="F10" s="31"/>
      <c r="G10" s="31"/>
      <c r="I10" s="32"/>
      <c r="J10" s="32"/>
      <c r="K10" s="33"/>
      <c r="L10" s="34"/>
    </row>
    <row r="11" spans="1:12" ht="13" x14ac:dyDescent="0.3">
      <c r="A11" s="357" t="s">
        <v>6</v>
      </c>
      <c r="B11" s="357"/>
      <c r="C11" s="35" t="str">
        <f>Sep!C11</f>
        <v>ATHENE, Pallas</v>
      </c>
      <c r="D11" s="36"/>
      <c r="E11" s="50"/>
      <c r="F11" s="38"/>
      <c r="G11" s="38" t="s">
        <v>8</v>
      </c>
      <c r="H11" s="39"/>
      <c r="I11" s="40" t="s">
        <v>20</v>
      </c>
      <c r="J11" s="98">
        <f>Jan!J11</f>
        <v>2024</v>
      </c>
      <c r="K11" s="42"/>
      <c r="L11" s="43"/>
    </row>
    <row r="12" spans="1:12" x14ac:dyDescent="0.25">
      <c r="B12" s="34"/>
      <c r="C12" s="44"/>
      <c r="D12" s="45"/>
      <c r="E12" s="38"/>
      <c r="F12" s="38"/>
      <c r="G12" s="31"/>
      <c r="I12" s="32"/>
      <c r="K12" s="33"/>
      <c r="L12" s="34"/>
    </row>
    <row r="13" spans="1:12" x14ac:dyDescent="0.25">
      <c r="A13" s="357" t="s">
        <v>7</v>
      </c>
      <c r="B13" s="357"/>
      <c r="C13" s="35" t="str">
        <f>Sep!C13</f>
        <v>Geschäftsstelle</v>
      </c>
      <c r="D13" s="102"/>
      <c r="E13" s="37"/>
      <c r="F13" s="51"/>
      <c r="G13" s="51"/>
      <c r="H13" s="39"/>
      <c r="I13" s="36"/>
      <c r="J13" s="37"/>
      <c r="K13" s="42"/>
      <c r="L13" s="43"/>
    </row>
    <row r="14" spans="1:12" ht="13" thickBot="1" x14ac:dyDescent="0.3">
      <c r="K14" s="33"/>
      <c r="L14" s="34"/>
    </row>
    <row r="15" spans="1:12" ht="15.25" customHeight="1" x14ac:dyDescent="0.25">
      <c r="A15" s="358"/>
      <c r="B15" s="358" t="s">
        <v>14</v>
      </c>
      <c r="C15" s="358" t="s">
        <v>28</v>
      </c>
      <c r="D15" s="358" t="s">
        <v>29</v>
      </c>
      <c r="E15" s="358" t="s">
        <v>16</v>
      </c>
      <c r="F15" s="365" t="s">
        <v>61</v>
      </c>
      <c r="G15" s="365"/>
      <c r="H15" s="362" t="s">
        <v>62</v>
      </c>
      <c r="I15" s="367" t="s">
        <v>0</v>
      </c>
      <c r="J15" s="395"/>
      <c r="K15" s="325" t="s">
        <v>60</v>
      </c>
      <c r="L15" s="326"/>
    </row>
    <row r="16" spans="1:12" ht="15.25" customHeight="1" thickBot="1" x14ac:dyDescent="0.3">
      <c r="A16" s="358"/>
      <c r="B16" s="358"/>
      <c r="C16" s="358"/>
      <c r="D16" s="358"/>
      <c r="E16" s="358"/>
      <c r="F16" s="365"/>
      <c r="G16" s="365"/>
      <c r="H16" s="363"/>
      <c r="I16" s="54" t="s">
        <v>1</v>
      </c>
      <c r="J16" s="103" t="s">
        <v>2</v>
      </c>
      <c r="K16" s="327"/>
      <c r="L16" s="328"/>
    </row>
    <row r="17" spans="1:14" ht="15.25" customHeight="1" thickBot="1" x14ac:dyDescent="0.3">
      <c r="A17" s="358"/>
      <c r="B17" s="358"/>
      <c r="C17" s="358"/>
      <c r="D17" s="358"/>
      <c r="E17" s="358"/>
      <c r="F17" s="365"/>
      <c r="G17" s="365"/>
      <c r="H17" s="363"/>
      <c r="I17" s="368">
        <f>IF(Mantelbogen!D26=I11,Mantelbogen!C28,Sep!I53)</f>
        <v>0.79166666666666807</v>
      </c>
      <c r="J17" s="369" t="str">
        <f>IF(Mantelbogen!D26=I11,Mantelbogen!D28,Sep!J53)</f>
        <v/>
      </c>
      <c r="K17" s="329" t="str">
        <f>IF(I17/H58 &gt; 1, I17/H58, " " )</f>
        <v xml:space="preserve"> </v>
      </c>
      <c r="L17" s="330"/>
    </row>
    <row r="18" spans="1:14" ht="15.25" customHeight="1" thickBot="1" x14ac:dyDescent="0.3">
      <c r="A18" s="358"/>
      <c r="B18" s="358"/>
      <c r="C18" s="358"/>
      <c r="D18" s="358"/>
      <c r="E18" s="358"/>
      <c r="F18" s="365"/>
      <c r="G18" s="365"/>
      <c r="H18" s="364"/>
      <c r="I18" s="368"/>
      <c r="J18" s="369"/>
      <c r="K18" s="331"/>
      <c r="L18" s="332"/>
    </row>
    <row r="19" spans="1:14" ht="17.399999999999999" customHeight="1" x14ac:dyDescent="0.25">
      <c r="A19" s="55">
        <v>1</v>
      </c>
      <c r="B19" s="56" t="str">
        <f t="shared" ref="B19:B49" si="0">TEXT(CONCATENATE(A19,".",I$11," ", J$11), "TTTT")</f>
        <v>Dienstag</v>
      </c>
      <c r="C19" s="4">
        <v>0.35416666666666669</v>
      </c>
      <c r="D19" s="4">
        <v>0.70833333333333337</v>
      </c>
      <c r="E19" s="4">
        <v>2.0833333333333332E-2</v>
      </c>
      <c r="F19" s="346">
        <f t="shared" ref="F19" si="1">IF(OR(ISTEXT(C19),ISBLANK(C19)),"",D19-C19-E19)</f>
        <v>0.33333333333333337</v>
      </c>
      <c r="G19" s="347"/>
      <c r="H19" s="212">
        <f t="shared" ref="H19:H48" si="2">IF(AND(OR(ISTEXT(C19),ISBLANK(C19)),ISERR(SEARCH("ausgleich",C19,1))),"",INDEX(H$51:H$58,WEEKDAY(CONCATENATE(A19,".",I$11," ",J$11),2),1,1))</f>
        <v>0.33333333333333331</v>
      </c>
      <c r="I19" s="195" t="str">
        <f t="shared" ref="I19:I48" si="3">IF(OR(AND(F19&gt;H19,OR(B19&lt;&gt;"Samstag",H$56&gt;0),OR(B19&lt;&gt;"Sonntag",H$57&gt;0),AND(ISNONTEXT(C19),C19&lt;&gt;""))),F19-H19,"")</f>
        <v/>
      </c>
      <c r="J19" s="5" t="str">
        <f t="shared" ref="J19:J48" si="4">IF(NOT(ISERR(SEARCH("ausgleich",C19,1))),H19, IF(AND(F19&lt;H19,B19&lt;&gt;"Samstag",B19&lt;&gt;"Sonntag",ISNONTEXT(C19)),H19-F19,""))</f>
        <v/>
      </c>
      <c r="K19" s="6" t="str">
        <f>IF(AND(B19="Sonntag",SUM(I19:I19)&lt;SUM(J19:J19)),"-","")</f>
        <v/>
      </c>
      <c r="L19" s="7" t="str">
        <f>IF(B19="Sonntag",ABS(SUM(I19:I19)-SUM(J19:J19)),"")</f>
        <v/>
      </c>
      <c r="N19" s="170"/>
    </row>
    <row r="20" spans="1:14" ht="17.399999999999999" customHeight="1" x14ac:dyDescent="0.25">
      <c r="A20" s="55">
        <v>2</v>
      </c>
      <c r="B20" s="56" t="str">
        <f t="shared" si="0"/>
        <v>Mittwoch</v>
      </c>
      <c r="C20" s="4">
        <v>0.35416666666666669</v>
      </c>
      <c r="D20" s="4">
        <v>0.70833333333333337</v>
      </c>
      <c r="E20" s="4">
        <v>2.0833333333333332E-2</v>
      </c>
      <c r="F20" s="346">
        <f t="shared" ref="F20:F48" si="5">IF(OR(ISTEXT(C20),ISBLANK(C20)),"",D20-C20-E20)</f>
        <v>0.33333333333333337</v>
      </c>
      <c r="G20" s="347"/>
      <c r="H20" s="212">
        <f t="shared" si="2"/>
        <v>0.33333333333333331</v>
      </c>
      <c r="I20" s="195" t="str">
        <f t="shared" si="3"/>
        <v/>
      </c>
      <c r="J20" s="5" t="str">
        <f t="shared" si="4"/>
        <v/>
      </c>
      <c r="K20" s="8" t="str">
        <f>IF(AND(B20="Sonntag",SUM(I19:I20)&lt;SUM(J19:J20)),"-","")</f>
        <v/>
      </c>
      <c r="L20" s="9" t="str">
        <f>IF(B20="Sonntag",ABS(SUM(I19:I20)-SUM(J19:J20)),"")</f>
        <v/>
      </c>
      <c r="N20" s="170"/>
    </row>
    <row r="21" spans="1:14" ht="17.399999999999999" customHeight="1" x14ac:dyDescent="0.25">
      <c r="A21" s="104">
        <v>3</v>
      </c>
      <c r="B21" s="203" t="str">
        <f t="shared" si="0"/>
        <v>Donnerstag</v>
      </c>
      <c r="C21" s="205" t="s">
        <v>32</v>
      </c>
      <c r="D21" s="79"/>
      <c r="E21" s="79"/>
      <c r="F21" s="353" t="str">
        <f t="shared" si="5"/>
        <v/>
      </c>
      <c r="G21" s="354"/>
      <c r="H21" s="213" t="str">
        <f t="shared" si="2"/>
        <v/>
      </c>
      <c r="I21" s="209">
        <v>0</v>
      </c>
      <c r="J21" s="208">
        <v>0</v>
      </c>
      <c r="K21" s="10" t="str">
        <f>IF(AND(B21="Sonntag",SUM(I19:I21)&lt;SUM(J19:J21)),"-","")</f>
        <v/>
      </c>
      <c r="L21" s="105" t="str">
        <f>IF(B21="Sonntag",ABS(SUM(I19:I21)-SUM(J19:J21)),"")</f>
        <v/>
      </c>
      <c r="N21" s="170"/>
    </row>
    <row r="22" spans="1:14" ht="17.399999999999999" customHeight="1" x14ac:dyDescent="0.25">
      <c r="A22" s="55">
        <v>4</v>
      </c>
      <c r="B22" s="56" t="str">
        <f t="shared" si="0"/>
        <v>Freitag</v>
      </c>
      <c r="C22" s="4">
        <v>0.35416666666666669</v>
      </c>
      <c r="D22" s="4">
        <v>0.70833333333333337</v>
      </c>
      <c r="E22" s="4">
        <v>2.0833333333333332E-2</v>
      </c>
      <c r="F22" s="346">
        <f t="shared" si="5"/>
        <v>0.33333333333333337</v>
      </c>
      <c r="G22" s="347"/>
      <c r="H22" s="212">
        <f t="shared" si="2"/>
        <v>0.3125</v>
      </c>
      <c r="I22" s="195">
        <f t="shared" si="3"/>
        <v>2.083333333333337E-2</v>
      </c>
      <c r="J22" s="5" t="str">
        <f t="shared" si="4"/>
        <v/>
      </c>
      <c r="K22" s="8" t="str">
        <f>IF(AND(B22="Sonntag",SUM(I19:I22)&lt;SUM(J19:J22)),"-","")</f>
        <v/>
      </c>
      <c r="L22" s="9" t="str">
        <f>IF(B22="Sonntag",ABS(SUM(I19:I22)-SUM(J19:J22)),"")</f>
        <v/>
      </c>
      <c r="N22" s="170"/>
    </row>
    <row r="23" spans="1:14" ht="17.399999999999999" customHeight="1" x14ac:dyDescent="0.25">
      <c r="A23" s="55">
        <v>5</v>
      </c>
      <c r="B23" s="56" t="str">
        <f t="shared" si="0"/>
        <v>Samstag</v>
      </c>
      <c r="C23" s="4">
        <v>0.35416666666666669</v>
      </c>
      <c r="D23" s="4">
        <v>0.70833333333333337</v>
      </c>
      <c r="E23" s="4">
        <v>2.0833333333333332E-2</v>
      </c>
      <c r="F23" s="346">
        <f t="shared" si="5"/>
        <v>0.33333333333333337</v>
      </c>
      <c r="G23" s="347"/>
      <c r="H23" s="212">
        <f t="shared" si="2"/>
        <v>0</v>
      </c>
      <c r="I23" s="195" t="str">
        <f t="shared" si="3"/>
        <v/>
      </c>
      <c r="J23" s="5" t="str">
        <f t="shared" si="4"/>
        <v/>
      </c>
      <c r="K23" s="8" t="str">
        <f>IF(AND(B23="Sonntag",SUM(I19:I23)&lt;SUM(J19:J23)),"-","")</f>
        <v/>
      </c>
      <c r="L23" s="9" t="str">
        <f>IF(B23="Sonntag",ABS(SUM(I19:I23)-SUM(J19:J23)),"")</f>
        <v/>
      </c>
      <c r="N23" s="170"/>
    </row>
    <row r="24" spans="1:14" ht="17.399999999999999" customHeight="1" x14ac:dyDescent="0.25">
      <c r="A24" s="55">
        <v>6</v>
      </c>
      <c r="B24" s="56" t="str">
        <f t="shared" si="0"/>
        <v>Sonntag</v>
      </c>
      <c r="C24" s="4">
        <v>0.35416666666666669</v>
      </c>
      <c r="D24" s="4">
        <v>0.70833333333333337</v>
      </c>
      <c r="E24" s="4">
        <v>2.0833333333333332E-2</v>
      </c>
      <c r="F24" s="346">
        <f t="shared" si="5"/>
        <v>0.33333333333333337</v>
      </c>
      <c r="G24" s="347"/>
      <c r="H24" s="212">
        <f t="shared" si="2"/>
        <v>0</v>
      </c>
      <c r="I24" s="195" t="str">
        <f t="shared" si="3"/>
        <v/>
      </c>
      <c r="J24" s="5" t="str">
        <f t="shared" si="4"/>
        <v/>
      </c>
      <c r="K24" s="8" t="str">
        <f>IF(AND(B24="Sonntag",SUM(I19:I24)&lt;SUM(J19:J24)),"-","")</f>
        <v/>
      </c>
      <c r="L24" s="9">
        <f>IF(B24="Sonntag",ABS(SUM(I19:I24)-SUM(J19:J24)),"")</f>
        <v>2.083333333333337E-2</v>
      </c>
      <c r="N24" s="170"/>
    </row>
    <row r="25" spans="1:14" ht="17.399999999999999" customHeight="1" x14ac:dyDescent="0.25">
      <c r="A25" s="55">
        <v>7</v>
      </c>
      <c r="B25" s="56" t="str">
        <f t="shared" si="0"/>
        <v>Montag</v>
      </c>
      <c r="C25" s="4">
        <v>0.35416666666666669</v>
      </c>
      <c r="D25" s="4">
        <v>0.70833333333333337</v>
      </c>
      <c r="E25" s="4">
        <v>2.0833333333333332E-2</v>
      </c>
      <c r="F25" s="346">
        <f t="shared" si="5"/>
        <v>0.33333333333333337</v>
      </c>
      <c r="G25" s="347"/>
      <c r="H25" s="212">
        <f t="shared" si="2"/>
        <v>0.33333333333333331</v>
      </c>
      <c r="I25" s="195" t="str">
        <f t="shared" si="3"/>
        <v/>
      </c>
      <c r="J25" s="5" t="str">
        <f t="shared" si="4"/>
        <v/>
      </c>
      <c r="K25" s="8" t="str">
        <f>IF(AND(B25="Sonntag",SUM(I19:I25)&lt;SUM(J19:J25)),"-","")</f>
        <v/>
      </c>
      <c r="L25" s="9" t="str">
        <f>IF(B25="Sonntag",ABS(SUM(I19:I25)-SUM(J19:J25)),"")</f>
        <v/>
      </c>
      <c r="N25" s="170"/>
    </row>
    <row r="26" spans="1:14" ht="17.399999999999999" customHeight="1" x14ac:dyDescent="0.25">
      <c r="A26" s="55">
        <v>8</v>
      </c>
      <c r="B26" s="56" t="str">
        <f t="shared" si="0"/>
        <v>Dienstag</v>
      </c>
      <c r="C26" s="4">
        <v>0.35416666666666669</v>
      </c>
      <c r="D26" s="4">
        <v>0.70833333333333337</v>
      </c>
      <c r="E26" s="4">
        <v>2.0833333333333332E-2</v>
      </c>
      <c r="F26" s="346">
        <f t="shared" si="5"/>
        <v>0.33333333333333337</v>
      </c>
      <c r="G26" s="347"/>
      <c r="H26" s="212">
        <f t="shared" si="2"/>
        <v>0.33333333333333331</v>
      </c>
      <c r="I26" s="195" t="str">
        <f t="shared" si="3"/>
        <v/>
      </c>
      <c r="J26" s="5" t="str">
        <f t="shared" si="4"/>
        <v/>
      </c>
      <c r="K26" s="8" t="str">
        <f>IF(AND(B26="Sonntag",SUM(I20:I26)&lt;SUM(J20:J26)),"-","")</f>
        <v/>
      </c>
      <c r="L26" s="9" t="str">
        <f>IF(B26="Sonntag",ABS(SUM(I20:I26)-SUM(J20:J26)),"")</f>
        <v/>
      </c>
      <c r="N26" s="170"/>
    </row>
    <row r="27" spans="1:14" ht="17.399999999999999" customHeight="1" x14ac:dyDescent="0.25">
      <c r="A27" s="55">
        <v>9</v>
      </c>
      <c r="B27" s="56" t="str">
        <f t="shared" si="0"/>
        <v>Mittwoch</v>
      </c>
      <c r="C27" s="4">
        <v>0.35416666666666669</v>
      </c>
      <c r="D27" s="4">
        <v>0.70833333333333337</v>
      </c>
      <c r="E27" s="4">
        <v>2.0833333333333332E-2</v>
      </c>
      <c r="F27" s="346">
        <f t="shared" si="5"/>
        <v>0.33333333333333337</v>
      </c>
      <c r="G27" s="347"/>
      <c r="H27" s="212">
        <f t="shared" si="2"/>
        <v>0.33333333333333331</v>
      </c>
      <c r="I27" s="195" t="str">
        <f t="shared" si="3"/>
        <v/>
      </c>
      <c r="J27" s="5" t="str">
        <f t="shared" si="4"/>
        <v/>
      </c>
      <c r="K27" s="8" t="str">
        <f>IF(AND(B27="Sonntag",SUM(I21:I27)&lt;SUM(J21:J27)),"-","")</f>
        <v/>
      </c>
      <c r="L27" s="9" t="str">
        <f>IF(B27="Sonntag",ABS(SUM(I21:I27)-SUM(J21:J27)),"")</f>
        <v/>
      </c>
      <c r="N27" s="170"/>
    </row>
    <row r="28" spans="1:14" ht="17.399999999999999" customHeight="1" x14ac:dyDescent="0.25">
      <c r="A28" s="55">
        <v>10</v>
      </c>
      <c r="B28" s="56" t="str">
        <f t="shared" si="0"/>
        <v>Donnerstag</v>
      </c>
      <c r="C28" s="4">
        <v>0.35416666666666669</v>
      </c>
      <c r="D28" s="4">
        <v>0.70833333333333337</v>
      </c>
      <c r="E28" s="4">
        <v>2.0833333333333332E-2</v>
      </c>
      <c r="F28" s="346">
        <f t="shared" si="5"/>
        <v>0.33333333333333337</v>
      </c>
      <c r="G28" s="347"/>
      <c r="H28" s="212">
        <f t="shared" si="2"/>
        <v>0.33333333333333331</v>
      </c>
      <c r="I28" s="195" t="str">
        <f t="shared" si="3"/>
        <v/>
      </c>
      <c r="J28" s="5" t="str">
        <f t="shared" si="4"/>
        <v/>
      </c>
      <c r="K28" s="8" t="str">
        <f t="shared" ref="K28:K47" si="6">IF(AND(B28="Sonntag",SUM(I22:I28)&lt;SUM(J22:J28)),"-","")</f>
        <v/>
      </c>
      <c r="L28" s="9" t="str">
        <f t="shared" ref="L28:L47" si="7">IF(B28="Sonntag",ABS(SUM(I22:I28)-SUM(J22:J28)),"")</f>
        <v/>
      </c>
      <c r="N28" s="170"/>
    </row>
    <row r="29" spans="1:14" ht="17.399999999999999" customHeight="1" x14ac:dyDescent="0.25">
      <c r="A29" s="55">
        <v>11</v>
      </c>
      <c r="B29" s="56" t="str">
        <f t="shared" si="0"/>
        <v>Freitag</v>
      </c>
      <c r="C29" s="4">
        <v>0.35416666666666669</v>
      </c>
      <c r="D29" s="4">
        <v>0.70833333333333337</v>
      </c>
      <c r="E29" s="4">
        <v>2.0833333333333332E-2</v>
      </c>
      <c r="F29" s="346">
        <f t="shared" si="5"/>
        <v>0.33333333333333337</v>
      </c>
      <c r="G29" s="347"/>
      <c r="H29" s="212">
        <f t="shared" si="2"/>
        <v>0.3125</v>
      </c>
      <c r="I29" s="195">
        <f t="shared" si="3"/>
        <v>2.083333333333337E-2</v>
      </c>
      <c r="J29" s="5" t="str">
        <f t="shared" si="4"/>
        <v/>
      </c>
      <c r="K29" s="8" t="str">
        <f t="shared" si="6"/>
        <v/>
      </c>
      <c r="L29" s="9" t="str">
        <f t="shared" si="7"/>
        <v/>
      </c>
      <c r="N29" s="170"/>
    </row>
    <row r="30" spans="1:14" ht="17.399999999999999" customHeight="1" x14ac:dyDescent="0.25">
      <c r="A30" s="55">
        <v>12</v>
      </c>
      <c r="B30" s="56" t="str">
        <f t="shared" si="0"/>
        <v>Samstag</v>
      </c>
      <c r="C30" s="4">
        <v>0.35416666666666669</v>
      </c>
      <c r="D30" s="4">
        <v>0.70833333333333337</v>
      </c>
      <c r="E30" s="4">
        <v>2.0833333333333332E-2</v>
      </c>
      <c r="F30" s="346">
        <f t="shared" si="5"/>
        <v>0.33333333333333337</v>
      </c>
      <c r="G30" s="347"/>
      <c r="H30" s="212">
        <f t="shared" si="2"/>
        <v>0</v>
      </c>
      <c r="I30" s="195" t="str">
        <f t="shared" si="3"/>
        <v/>
      </c>
      <c r="J30" s="5" t="str">
        <f t="shared" si="4"/>
        <v/>
      </c>
      <c r="K30" s="8" t="str">
        <f t="shared" si="6"/>
        <v/>
      </c>
      <c r="L30" s="9" t="str">
        <f t="shared" si="7"/>
        <v/>
      </c>
      <c r="N30" s="170"/>
    </row>
    <row r="31" spans="1:14" ht="17.399999999999999" customHeight="1" x14ac:dyDescent="0.25">
      <c r="A31" s="55">
        <v>13</v>
      </c>
      <c r="B31" s="56" t="str">
        <f t="shared" si="0"/>
        <v>Sonntag</v>
      </c>
      <c r="C31" s="4">
        <v>0.35416666666666669</v>
      </c>
      <c r="D31" s="4">
        <v>0.70833333333333337</v>
      </c>
      <c r="E31" s="4">
        <v>2.0833333333333332E-2</v>
      </c>
      <c r="F31" s="346">
        <f t="shared" si="5"/>
        <v>0.33333333333333337</v>
      </c>
      <c r="G31" s="347"/>
      <c r="H31" s="212">
        <f t="shared" si="2"/>
        <v>0</v>
      </c>
      <c r="I31" s="195" t="str">
        <f t="shared" si="3"/>
        <v/>
      </c>
      <c r="J31" s="5" t="str">
        <f t="shared" si="4"/>
        <v/>
      </c>
      <c r="K31" s="8" t="str">
        <f t="shared" si="6"/>
        <v/>
      </c>
      <c r="L31" s="9">
        <f t="shared" si="7"/>
        <v>2.083333333333337E-2</v>
      </c>
    </row>
    <row r="32" spans="1:14" ht="17.399999999999999" customHeight="1" x14ac:dyDescent="0.25">
      <c r="A32" s="55">
        <v>14</v>
      </c>
      <c r="B32" s="56" t="str">
        <f t="shared" si="0"/>
        <v>Montag</v>
      </c>
      <c r="C32" s="4">
        <v>0.35416666666666669</v>
      </c>
      <c r="D32" s="4">
        <v>0.70833333333333337</v>
      </c>
      <c r="E32" s="4">
        <v>2.0833333333333332E-2</v>
      </c>
      <c r="F32" s="346">
        <f t="shared" si="5"/>
        <v>0.33333333333333337</v>
      </c>
      <c r="G32" s="347"/>
      <c r="H32" s="212">
        <f t="shared" si="2"/>
        <v>0.33333333333333331</v>
      </c>
      <c r="I32" s="195" t="str">
        <f t="shared" si="3"/>
        <v/>
      </c>
      <c r="J32" s="5" t="str">
        <f t="shared" si="4"/>
        <v/>
      </c>
      <c r="K32" s="8" t="str">
        <f t="shared" si="6"/>
        <v/>
      </c>
      <c r="L32" s="9" t="str">
        <f t="shared" si="7"/>
        <v/>
      </c>
    </row>
    <row r="33" spans="1:14" ht="17.399999999999999" customHeight="1" x14ac:dyDescent="0.25">
      <c r="A33" s="55">
        <v>15</v>
      </c>
      <c r="B33" s="56" t="str">
        <f t="shared" si="0"/>
        <v>Dienstag</v>
      </c>
      <c r="C33" s="4">
        <v>0.35416666666666669</v>
      </c>
      <c r="D33" s="4">
        <v>0.70833333333333337</v>
      </c>
      <c r="E33" s="4">
        <v>2.0833333333333332E-2</v>
      </c>
      <c r="F33" s="346">
        <f t="shared" si="5"/>
        <v>0.33333333333333337</v>
      </c>
      <c r="G33" s="347"/>
      <c r="H33" s="212">
        <f t="shared" si="2"/>
        <v>0.33333333333333331</v>
      </c>
      <c r="I33" s="195" t="str">
        <f t="shared" si="3"/>
        <v/>
      </c>
      <c r="J33" s="5" t="str">
        <f t="shared" si="4"/>
        <v/>
      </c>
      <c r="K33" s="8" t="str">
        <f t="shared" si="6"/>
        <v/>
      </c>
      <c r="L33" s="9" t="str">
        <f t="shared" si="7"/>
        <v/>
      </c>
      <c r="N33" s="170"/>
    </row>
    <row r="34" spans="1:14" ht="17.399999999999999" customHeight="1" x14ac:dyDescent="0.25">
      <c r="A34" s="55">
        <v>16</v>
      </c>
      <c r="B34" s="56" t="str">
        <f t="shared" si="0"/>
        <v>Mittwoch</v>
      </c>
      <c r="C34" s="4">
        <v>0.35416666666666669</v>
      </c>
      <c r="D34" s="4">
        <v>0.70833333333333337</v>
      </c>
      <c r="E34" s="4">
        <v>2.0833333333333332E-2</v>
      </c>
      <c r="F34" s="346">
        <f t="shared" si="5"/>
        <v>0.33333333333333337</v>
      </c>
      <c r="G34" s="347"/>
      <c r="H34" s="212">
        <f t="shared" si="2"/>
        <v>0.33333333333333331</v>
      </c>
      <c r="I34" s="195" t="str">
        <f t="shared" si="3"/>
        <v/>
      </c>
      <c r="J34" s="5" t="str">
        <f t="shared" si="4"/>
        <v/>
      </c>
      <c r="K34" s="8" t="str">
        <f t="shared" si="6"/>
        <v/>
      </c>
      <c r="L34" s="9" t="str">
        <f t="shared" si="7"/>
        <v/>
      </c>
      <c r="N34" s="170"/>
    </row>
    <row r="35" spans="1:14" ht="17.399999999999999" customHeight="1" x14ac:dyDescent="0.25">
      <c r="A35" s="55">
        <v>17</v>
      </c>
      <c r="B35" s="56" t="str">
        <f t="shared" si="0"/>
        <v>Donnerstag</v>
      </c>
      <c r="C35" s="4">
        <v>0.35416666666666669</v>
      </c>
      <c r="D35" s="4">
        <v>0.70833333333333337</v>
      </c>
      <c r="E35" s="4">
        <v>2.0833333333333332E-2</v>
      </c>
      <c r="F35" s="346">
        <f t="shared" si="5"/>
        <v>0.33333333333333337</v>
      </c>
      <c r="G35" s="347"/>
      <c r="H35" s="212">
        <f t="shared" si="2"/>
        <v>0.33333333333333331</v>
      </c>
      <c r="I35" s="195" t="str">
        <f t="shared" si="3"/>
        <v/>
      </c>
      <c r="J35" s="5" t="str">
        <f t="shared" si="4"/>
        <v/>
      </c>
      <c r="K35" s="8" t="str">
        <f t="shared" si="6"/>
        <v/>
      </c>
      <c r="L35" s="9" t="str">
        <f t="shared" si="7"/>
        <v/>
      </c>
      <c r="N35" s="170"/>
    </row>
    <row r="36" spans="1:14" ht="17.399999999999999" customHeight="1" x14ac:dyDescent="0.25">
      <c r="A36" s="55">
        <v>18</v>
      </c>
      <c r="B36" s="56" t="str">
        <f t="shared" si="0"/>
        <v>Freitag</v>
      </c>
      <c r="C36" s="4">
        <v>0.35416666666666669</v>
      </c>
      <c r="D36" s="4">
        <v>0.70833333333333337</v>
      </c>
      <c r="E36" s="4">
        <v>2.0833333333333332E-2</v>
      </c>
      <c r="F36" s="346">
        <f t="shared" si="5"/>
        <v>0.33333333333333337</v>
      </c>
      <c r="G36" s="347"/>
      <c r="H36" s="212">
        <f t="shared" si="2"/>
        <v>0.3125</v>
      </c>
      <c r="I36" s="195">
        <f t="shared" si="3"/>
        <v>2.083333333333337E-2</v>
      </c>
      <c r="J36" s="5" t="str">
        <f t="shared" si="4"/>
        <v/>
      </c>
      <c r="K36" s="8" t="str">
        <f t="shared" si="6"/>
        <v/>
      </c>
      <c r="L36" s="9" t="str">
        <f t="shared" si="7"/>
        <v/>
      </c>
      <c r="N36" s="170"/>
    </row>
    <row r="37" spans="1:14" ht="17.399999999999999" customHeight="1" x14ac:dyDescent="0.25">
      <c r="A37" s="55">
        <v>19</v>
      </c>
      <c r="B37" s="56" t="str">
        <f t="shared" si="0"/>
        <v>Samstag</v>
      </c>
      <c r="C37" s="4">
        <v>0.35416666666666669</v>
      </c>
      <c r="D37" s="4">
        <v>0.70833333333333337</v>
      </c>
      <c r="E37" s="4">
        <v>2.0833333333333332E-2</v>
      </c>
      <c r="F37" s="346">
        <f t="shared" si="5"/>
        <v>0.33333333333333337</v>
      </c>
      <c r="G37" s="347"/>
      <c r="H37" s="212">
        <f t="shared" si="2"/>
        <v>0</v>
      </c>
      <c r="I37" s="195" t="str">
        <f t="shared" si="3"/>
        <v/>
      </c>
      <c r="J37" s="5" t="str">
        <f t="shared" si="4"/>
        <v/>
      </c>
      <c r="K37" s="8" t="str">
        <f t="shared" si="6"/>
        <v/>
      </c>
      <c r="L37" s="9" t="str">
        <f t="shared" si="7"/>
        <v/>
      </c>
      <c r="N37" s="170"/>
    </row>
    <row r="38" spans="1:14" ht="17.399999999999999" customHeight="1" x14ac:dyDescent="0.25">
      <c r="A38" s="55">
        <v>20</v>
      </c>
      <c r="B38" s="56" t="str">
        <f t="shared" si="0"/>
        <v>Sonntag</v>
      </c>
      <c r="C38" s="4">
        <v>0.35416666666666669</v>
      </c>
      <c r="D38" s="4">
        <v>0.70833333333333337</v>
      </c>
      <c r="E38" s="4">
        <v>2.0833333333333332E-2</v>
      </c>
      <c r="F38" s="346">
        <f t="shared" si="5"/>
        <v>0.33333333333333337</v>
      </c>
      <c r="G38" s="347"/>
      <c r="H38" s="212">
        <f t="shared" si="2"/>
        <v>0</v>
      </c>
      <c r="I38" s="195" t="str">
        <f t="shared" si="3"/>
        <v/>
      </c>
      <c r="J38" s="5" t="str">
        <f t="shared" si="4"/>
        <v/>
      </c>
      <c r="K38" s="8" t="str">
        <f t="shared" si="6"/>
        <v/>
      </c>
      <c r="L38" s="9">
        <f t="shared" si="7"/>
        <v>2.083333333333337E-2</v>
      </c>
      <c r="N38" s="170"/>
    </row>
    <row r="39" spans="1:14" ht="17.399999999999999" customHeight="1" x14ac:dyDescent="0.25">
      <c r="A39" s="55">
        <v>21</v>
      </c>
      <c r="B39" s="56" t="str">
        <f t="shared" si="0"/>
        <v>Montag</v>
      </c>
      <c r="C39" s="4">
        <v>0.35416666666666669</v>
      </c>
      <c r="D39" s="4">
        <v>0.70833333333333337</v>
      </c>
      <c r="E39" s="4">
        <v>2.0833333333333332E-2</v>
      </c>
      <c r="F39" s="346">
        <f t="shared" si="5"/>
        <v>0.33333333333333337</v>
      </c>
      <c r="G39" s="347"/>
      <c r="H39" s="212">
        <f t="shared" si="2"/>
        <v>0.33333333333333331</v>
      </c>
      <c r="I39" s="195" t="str">
        <f t="shared" si="3"/>
        <v/>
      </c>
      <c r="J39" s="5" t="str">
        <f t="shared" si="4"/>
        <v/>
      </c>
      <c r="K39" s="8" t="str">
        <f t="shared" si="6"/>
        <v/>
      </c>
      <c r="L39" s="9" t="str">
        <f t="shared" si="7"/>
        <v/>
      </c>
      <c r="N39" s="170"/>
    </row>
    <row r="40" spans="1:14" ht="17.399999999999999" customHeight="1" x14ac:dyDescent="0.25">
      <c r="A40" s="55">
        <v>22</v>
      </c>
      <c r="B40" s="56" t="str">
        <f t="shared" si="0"/>
        <v>Dienstag</v>
      </c>
      <c r="C40" s="4">
        <v>0.35416666666666669</v>
      </c>
      <c r="D40" s="4">
        <v>0.70833333333333337</v>
      </c>
      <c r="E40" s="4">
        <v>2.0833333333333332E-2</v>
      </c>
      <c r="F40" s="346">
        <f t="shared" si="5"/>
        <v>0.33333333333333337</v>
      </c>
      <c r="G40" s="347"/>
      <c r="H40" s="212">
        <f t="shared" si="2"/>
        <v>0.33333333333333331</v>
      </c>
      <c r="I40" s="195" t="str">
        <f t="shared" si="3"/>
        <v/>
      </c>
      <c r="J40" s="5" t="str">
        <f t="shared" si="4"/>
        <v/>
      </c>
      <c r="K40" s="8" t="str">
        <f t="shared" si="6"/>
        <v/>
      </c>
      <c r="L40" s="9" t="str">
        <f t="shared" si="7"/>
        <v/>
      </c>
      <c r="N40" s="170"/>
    </row>
    <row r="41" spans="1:14" ht="17.399999999999999" customHeight="1" x14ac:dyDescent="0.25">
      <c r="A41" s="55">
        <v>23</v>
      </c>
      <c r="B41" s="56" t="str">
        <f t="shared" si="0"/>
        <v>Mittwoch</v>
      </c>
      <c r="C41" s="4">
        <v>0.35416666666666669</v>
      </c>
      <c r="D41" s="4">
        <v>0.70833333333333337</v>
      </c>
      <c r="E41" s="4">
        <v>2.0833333333333332E-2</v>
      </c>
      <c r="F41" s="346">
        <f t="shared" si="5"/>
        <v>0.33333333333333337</v>
      </c>
      <c r="G41" s="347"/>
      <c r="H41" s="212">
        <f t="shared" si="2"/>
        <v>0.33333333333333331</v>
      </c>
      <c r="I41" s="195" t="str">
        <f t="shared" si="3"/>
        <v/>
      </c>
      <c r="J41" s="5" t="str">
        <f t="shared" si="4"/>
        <v/>
      </c>
      <c r="K41" s="8" t="str">
        <f t="shared" si="6"/>
        <v/>
      </c>
      <c r="L41" s="9" t="str">
        <f t="shared" si="7"/>
        <v/>
      </c>
      <c r="N41" s="170"/>
    </row>
    <row r="42" spans="1:14" ht="17.399999999999999" customHeight="1" x14ac:dyDescent="0.25">
      <c r="A42" s="55">
        <v>24</v>
      </c>
      <c r="B42" s="56" t="str">
        <f t="shared" si="0"/>
        <v>Donnerstag</v>
      </c>
      <c r="C42" s="4">
        <v>0.35416666666666669</v>
      </c>
      <c r="D42" s="4">
        <v>0.70833333333333337</v>
      </c>
      <c r="E42" s="4">
        <v>2.0833333333333332E-2</v>
      </c>
      <c r="F42" s="346">
        <f t="shared" si="5"/>
        <v>0.33333333333333337</v>
      </c>
      <c r="G42" s="347"/>
      <c r="H42" s="212">
        <f t="shared" si="2"/>
        <v>0.33333333333333331</v>
      </c>
      <c r="I42" s="195" t="str">
        <f t="shared" si="3"/>
        <v/>
      </c>
      <c r="J42" s="5" t="str">
        <f t="shared" si="4"/>
        <v/>
      </c>
      <c r="K42" s="8" t="str">
        <f t="shared" si="6"/>
        <v/>
      </c>
      <c r="L42" s="9" t="str">
        <f t="shared" si="7"/>
        <v/>
      </c>
      <c r="N42" s="170"/>
    </row>
    <row r="43" spans="1:14" ht="17.399999999999999" customHeight="1" x14ac:dyDescent="0.25">
      <c r="A43" s="55">
        <v>25</v>
      </c>
      <c r="B43" s="56" t="str">
        <f t="shared" si="0"/>
        <v>Freitag</v>
      </c>
      <c r="C43" s="4">
        <v>0.35416666666666669</v>
      </c>
      <c r="D43" s="4">
        <v>0.70833333333333337</v>
      </c>
      <c r="E43" s="4">
        <v>2.0833333333333332E-2</v>
      </c>
      <c r="F43" s="346">
        <f t="shared" si="5"/>
        <v>0.33333333333333337</v>
      </c>
      <c r="G43" s="347"/>
      <c r="H43" s="212">
        <f t="shared" si="2"/>
        <v>0.3125</v>
      </c>
      <c r="I43" s="195">
        <f t="shared" si="3"/>
        <v>2.083333333333337E-2</v>
      </c>
      <c r="J43" s="5" t="str">
        <f t="shared" si="4"/>
        <v/>
      </c>
      <c r="K43" s="8" t="str">
        <f t="shared" si="6"/>
        <v/>
      </c>
      <c r="L43" s="9" t="str">
        <f t="shared" si="7"/>
        <v/>
      </c>
      <c r="N43" s="299" t="str">
        <f>IF(Mantelbogen!$C$8="Geschäftsstelle", "2024 Klassenstzg", "")</f>
        <v>2024 Klassenstzg</v>
      </c>
    </row>
    <row r="44" spans="1:14" ht="17.399999999999999" customHeight="1" x14ac:dyDescent="0.25">
      <c r="A44" s="55">
        <v>26</v>
      </c>
      <c r="B44" s="56" t="str">
        <f t="shared" si="0"/>
        <v>Samstag</v>
      </c>
      <c r="C44" s="4">
        <v>0.35416666666666669</v>
      </c>
      <c r="D44" s="4">
        <v>0.70833333333333337</v>
      </c>
      <c r="E44" s="4">
        <v>2.0833333333333332E-2</v>
      </c>
      <c r="F44" s="346">
        <f t="shared" si="5"/>
        <v>0.33333333333333337</v>
      </c>
      <c r="G44" s="347"/>
      <c r="H44" s="212">
        <f t="shared" si="2"/>
        <v>0</v>
      </c>
      <c r="I44" s="195" t="str">
        <f t="shared" si="3"/>
        <v/>
      </c>
      <c r="J44" s="5" t="str">
        <f t="shared" si="4"/>
        <v/>
      </c>
      <c r="K44" s="8" t="str">
        <f t="shared" si="6"/>
        <v/>
      </c>
      <c r="L44" s="9" t="str">
        <f t="shared" si="7"/>
        <v/>
      </c>
      <c r="N44" s="299" t="str">
        <f>IF(Mantelbogen!$C$8="Geschäftsstelle", "2024 Gesamtstzg", "")</f>
        <v>2024 Gesamtstzg</v>
      </c>
    </row>
    <row r="45" spans="1:14" ht="17.399999999999999" customHeight="1" x14ac:dyDescent="0.25">
      <c r="A45" s="55">
        <v>27</v>
      </c>
      <c r="B45" s="56" t="str">
        <f t="shared" si="0"/>
        <v>Sonntag</v>
      </c>
      <c r="C45" s="4">
        <v>0.35416666666666669</v>
      </c>
      <c r="D45" s="4">
        <v>0.70833333333333337</v>
      </c>
      <c r="E45" s="4">
        <v>2.0833333333333332E-2</v>
      </c>
      <c r="F45" s="346">
        <f t="shared" si="5"/>
        <v>0.33333333333333337</v>
      </c>
      <c r="G45" s="347"/>
      <c r="H45" s="212">
        <f t="shared" si="2"/>
        <v>0</v>
      </c>
      <c r="I45" s="195" t="str">
        <f t="shared" si="3"/>
        <v/>
      </c>
      <c r="J45" s="5" t="str">
        <f t="shared" si="4"/>
        <v/>
      </c>
      <c r="K45" s="8" t="str">
        <f t="shared" si="6"/>
        <v/>
      </c>
      <c r="L45" s="9">
        <f t="shared" si="7"/>
        <v>2.083333333333337E-2</v>
      </c>
      <c r="N45" s="170"/>
    </row>
    <row r="46" spans="1:14" ht="17.399999999999999" customHeight="1" x14ac:dyDescent="0.25">
      <c r="A46" s="55">
        <v>28</v>
      </c>
      <c r="B46" s="56" t="str">
        <f t="shared" si="0"/>
        <v>Montag</v>
      </c>
      <c r="C46" s="4">
        <v>0.35416666666666669</v>
      </c>
      <c r="D46" s="4">
        <v>0.70833333333333337</v>
      </c>
      <c r="E46" s="4">
        <v>2.0833333333333332E-2</v>
      </c>
      <c r="F46" s="346">
        <f t="shared" si="5"/>
        <v>0.33333333333333337</v>
      </c>
      <c r="G46" s="347"/>
      <c r="H46" s="212">
        <f t="shared" si="2"/>
        <v>0.33333333333333331</v>
      </c>
      <c r="I46" s="195" t="str">
        <f t="shared" si="3"/>
        <v/>
      </c>
      <c r="J46" s="5" t="str">
        <f t="shared" si="4"/>
        <v/>
      </c>
      <c r="K46" s="8" t="str">
        <f t="shared" si="6"/>
        <v/>
      </c>
      <c r="L46" s="9" t="str">
        <f t="shared" si="7"/>
        <v/>
      </c>
      <c r="N46" s="283" t="s">
        <v>121</v>
      </c>
    </row>
    <row r="47" spans="1:14" ht="17.399999999999999" customHeight="1" x14ac:dyDescent="0.25">
      <c r="A47" s="55">
        <v>29</v>
      </c>
      <c r="B47" s="56" t="str">
        <f t="shared" si="0"/>
        <v>Dienstag</v>
      </c>
      <c r="C47" s="4">
        <v>0.35416666666666669</v>
      </c>
      <c r="D47" s="4">
        <v>0.70833333333333337</v>
      </c>
      <c r="E47" s="4">
        <v>2.0833333333333332E-2</v>
      </c>
      <c r="F47" s="346">
        <f t="shared" si="5"/>
        <v>0.33333333333333337</v>
      </c>
      <c r="G47" s="347"/>
      <c r="H47" s="212">
        <f t="shared" si="2"/>
        <v>0.33333333333333331</v>
      </c>
      <c r="I47" s="195" t="str">
        <f t="shared" si="3"/>
        <v/>
      </c>
      <c r="J47" s="5" t="str">
        <f t="shared" si="4"/>
        <v/>
      </c>
      <c r="K47" s="8" t="str">
        <f t="shared" si="6"/>
        <v/>
      </c>
      <c r="L47" s="9" t="str">
        <f t="shared" si="7"/>
        <v/>
      </c>
      <c r="N47" s="299"/>
    </row>
    <row r="48" spans="1:14" ht="17.399999999999999" customHeight="1" x14ac:dyDescent="0.25">
      <c r="A48" s="55">
        <v>30</v>
      </c>
      <c r="B48" s="56" t="str">
        <f t="shared" si="0"/>
        <v>Mittwoch</v>
      </c>
      <c r="C48" s="4">
        <v>0.35416666666666669</v>
      </c>
      <c r="D48" s="4">
        <v>0.70833333333333337</v>
      </c>
      <c r="E48" s="4">
        <v>2.0833333333333332E-2</v>
      </c>
      <c r="F48" s="346">
        <f t="shared" si="5"/>
        <v>0.33333333333333337</v>
      </c>
      <c r="G48" s="347"/>
      <c r="H48" s="212">
        <f t="shared" si="2"/>
        <v>0.33333333333333331</v>
      </c>
      <c r="I48" s="195" t="str">
        <f t="shared" si="3"/>
        <v/>
      </c>
      <c r="J48" s="5" t="str">
        <f t="shared" si="4"/>
        <v/>
      </c>
      <c r="K48" s="8" t="str">
        <f>IF(AND(B48="Sonntag",SUM(I42:I48)&lt;SUM(J42:J48)),"-","")</f>
        <v/>
      </c>
      <c r="L48" s="9" t="str">
        <f>IF(B48="Sonntag",ABS(SUM(I42:I48)-SUM(J42:J48)),"")</f>
        <v/>
      </c>
    </row>
    <row r="49" spans="1:17" ht="17.399999999999999" customHeight="1" x14ac:dyDescent="0.3">
      <c r="A49" s="106">
        <v>31</v>
      </c>
      <c r="B49" s="107" t="str">
        <f t="shared" si="0"/>
        <v>Donnerstag</v>
      </c>
      <c r="C49" s="4">
        <v>0.35416666666666669</v>
      </c>
      <c r="D49" s="4">
        <v>0.70833333333333337</v>
      </c>
      <c r="E49" s="4">
        <v>2.0833333333333332E-2</v>
      </c>
      <c r="F49" s="346">
        <f t="shared" ref="F49" si="8">IF(OR(ISTEXT(C49),ISBLANK(C49)),"",D49-C49-E49)</f>
        <v>0.33333333333333337</v>
      </c>
      <c r="G49" s="347"/>
      <c r="H49" s="270">
        <f t="shared" ref="H49" si="9">IF(AND(OR(ISTEXT(C49),ISBLANK(C49)),ISERR(SEARCH("ausgleich",C49,1))),"",INDEX(H$51:H$58,WEEKDAY(CONCATENATE(A49,".",I$11," ",J$11),2),1,1))</f>
        <v>0.33333333333333331</v>
      </c>
      <c r="I49" s="195" t="str">
        <f t="shared" ref="I49" si="10">IF(OR(AND(F49&gt;H49,OR(B49&lt;&gt;"Samstag",H$56&gt;0),OR(B49&lt;&gt;"Sonntag",H$57&gt;0),AND(ISNONTEXT(C49),C49&lt;&gt;""))),F49-H49,"")</f>
        <v/>
      </c>
      <c r="J49" s="5" t="str">
        <f t="shared" ref="J49" si="11">IF(NOT(ISERR(SEARCH("ausgleich",C49,1))),H49, IF(AND(F49&lt;H49,B49&lt;&gt;"Samstag",B49&lt;&gt;"Sonntag",ISNONTEXT(C49)),H49-F49,""))</f>
        <v/>
      </c>
      <c r="K49" s="8" t="str">
        <f ca="1">IF(SUM(INDIRECT("I"&amp;ROW()-WEEKDAY(CONCATENATE(A49,".",I$11," ",J$11),3)):I49) &lt; SUM(INDIRECT("j"&amp;ROW()-WEEKDAY(CONCATENATE(A49,".",I$11," ",J$11),3)):J49),"-","")</f>
        <v/>
      </c>
      <c r="L49" s="274">
        <f ca="1">ABS(SUM(INDIRECT("I"&amp;ROW()-WEEKDAY(CONCATENATE(A49,".",I$11," ",J$11),3)):I49)-SUM(INDIRECT("j"&amp;ROW()-WEEKDAY(CONCATENATE(A49,".",I$11," ",J$11),3)):J49))</f>
        <v>0</v>
      </c>
      <c r="M49" s="276"/>
      <c r="N49" s="283" t="s">
        <v>116</v>
      </c>
      <c r="O49" s="31"/>
      <c r="P49" s="31"/>
      <c r="Q49" s="31"/>
    </row>
    <row r="50" spans="1:17" s="68" customFormat="1" ht="17.399999999999999" customHeight="1" thickBot="1" x14ac:dyDescent="0.3">
      <c r="A50" s="59" t="str">
        <f>Jan!A50</f>
        <v>Sonstige Zeiten laut beigefügter Aufstellung (s. Anlage):</v>
      </c>
      <c r="B50" s="60"/>
      <c r="C50" s="61"/>
      <c r="D50" s="62"/>
      <c r="E50" s="62"/>
      <c r="F50" s="62"/>
      <c r="G50" s="62"/>
      <c r="H50" s="63"/>
      <c r="I50" s="219">
        <v>0</v>
      </c>
      <c r="J50" s="220">
        <v>0</v>
      </c>
      <c r="K50" s="273"/>
      <c r="L50" s="275"/>
      <c r="M50" s="271"/>
      <c r="N50" s="271"/>
      <c r="O50" s="272"/>
      <c r="P50" s="272"/>
      <c r="Q50" s="272"/>
    </row>
    <row r="51" spans="1:17" x14ac:dyDescent="0.25">
      <c r="A51" s="338" t="s">
        <v>3</v>
      </c>
      <c r="B51" s="338"/>
      <c r="C51" s="338"/>
      <c r="D51" s="338"/>
      <c r="H51" s="69">
        <f>Sep!H51</f>
        <v>0.33333333333333331</v>
      </c>
      <c r="I51" s="351">
        <f>SUM(I17:I50)</f>
        <v>0.87500000000000155</v>
      </c>
      <c r="J51" s="351">
        <f>SUM(J17:J50)</f>
        <v>0</v>
      </c>
      <c r="K51" s="333" t="str">
        <f ca="1">IF(SUMIF(K19:K49,"",L19:L49)&lt;SUMIF(K19:K49,"-",L19:L49),"-","")</f>
        <v/>
      </c>
      <c r="L51" s="394">
        <f ca="1">ABS(SUMIF(K19:K49,"",L19:L49)-SUMIF(K19:K49,"-",L19:L49))</f>
        <v>8.3333333333333481E-2</v>
      </c>
      <c r="M51" s="277"/>
      <c r="N51" s="31"/>
      <c r="O51" s="31"/>
      <c r="P51" s="31"/>
      <c r="Q51" s="31"/>
    </row>
    <row r="52" spans="1:17" ht="13.5" thickBot="1" x14ac:dyDescent="0.35">
      <c r="A52" s="339"/>
      <c r="B52" s="339"/>
      <c r="C52" s="339"/>
      <c r="D52" s="339"/>
      <c r="G52" s="70" t="s">
        <v>12</v>
      </c>
      <c r="H52" s="69">
        <f>Sep!H52</f>
        <v>0.33333333333333331</v>
      </c>
      <c r="I52" s="396"/>
      <c r="J52" s="396"/>
      <c r="K52" s="393"/>
      <c r="L52" s="336"/>
    </row>
    <row r="53" spans="1:17" x14ac:dyDescent="0.25">
      <c r="A53" s="339"/>
      <c r="B53" s="339"/>
      <c r="C53" s="339"/>
      <c r="D53" s="339"/>
      <c r="G53" s="71"/>
      <c r="H53" s="69">
        <f>Sep!H53</f>
        <v>0.33333333333333331</v>
      </c>
      <c r="I53" s="344">
        <f>IF(I51&gt;J51,I51-J51,0)</f>
        <v>0.87500000000000155</v>
      </c>
      <c r="J53" s="342" t="str">
        <f>IF(J51&gt;I51,J51-I51,"")</f>
        <v/>
      </c>
      <c r="K53" s="231"/>
      <c r="L53" s="231"/>
    </row>
    <row r="54" spans="1:17" ht="13.5" thickBot="1" x14ac:dyDescent="0.35">
      <c r="A54" s="341" t="s">
        <v>15</v>
      </c>
      <c r="B54" s="341"/>
      <c r="C54" s="341"/>
      <c r="D54" s="341"/>
      <c r="E54" s="72"/>
      <c r="F54" s="72"/>
      <c r="G54" s="70" t="s">
        <v>13</v>
      </c>
      <c r="H54" s="69">
        <f>Sep!H54</f>
        <v>0.33333333333333331</v>
      </c>
      <c r="I54" s="345"/>
      <c r="J54" s="343"/>
      <c r="K54" s="231"/>
      <c r="L54" s="231"/>
    </row>
    <row r="55" spans="1:17" x14ac:dyDescent="0.25">
      <c r="A55" s="338" t="s">
        <v>4</v>
      </c>
      <c r="B55" s="338"/>
      <c r="C55" s="338"/>
      <c r="D55" s="338"/>
      <c r="E55" s="250"/>
      <c r="F55" s="252"/>
      <c r="G55" s="250"/>
      <c r="H55" s="69">
        <f>Sep!H55</f>
        <v>0.3125</v>
      </c>
      <c r="I55" s="72"/>
      <c r="J55" s="72"/>
      <c r="K55" s="170"/>
      <c r="L55" s="170"/>
    </row>
    <row r="56" spans="1:17" ht="13.25" customHeight="1" x14ac:dyDescent="0.25">
      <c r="A56" s="339"/>
      <c r="B56" s="339"/>
      <c r="C56" s="339"/>
      <c r="D56" s="339"/>
      <c r="E56" s="245" t="str">
        <f>Jan!E56</f>
        <v xml:space="preserve"> </v>
      </c>
      <c r="F56" s="223"/>
      <c r="G56" s="74" t="str">
        <f>IF(E56=" ", " ", IF(Mantelbogen!D26=I11,Mantelbogen!C29,MIN(Sep!G58,Mantelbogen!C33)))</f>
        <v xml:space="preserve"> </v>
      </c>
      <c r="H56" s="187">
        <v>0</v>
      </c>
      <c r="I56" s="340" t="s">
        <v>129</v>
      </c>
      <c r="J56" s="340"/>
      <c r="K56" s="170"/>
      <c r="L56" s="170"/>
    </row>
    <row r="57" spans="1:17"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7"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7" x14ac:dyDescent="0.25">
      <c r="G60" s="337"/>
      <c r="H60" s="337"/>
      <c r="I60" s="337"/>
      <c r="J60" s="74"/>
    </row>
    <row r="61" spans="1:17" x14ac:dyDescent="0.25">
      <c r="G61" s="74"/>
      <c r="H61" s="74"/>
      <c r="I61" s="74"/>
      <c r="J61" s="74"/>
    </row>
    <row r="62" spans="1:17" x14ac:dyDescent="0.25">
      <c r="G62" s="74"/>
      <c r="H62" s="74"/>
    </row>
  </sheetData>
  <sheetProtection password="9BC9" sheet="1" objects="1" scenarios="1"/>
  <mergeCells count="62">
    <mergeCell ref="F19:G19"/>
    <mergeCell ref="F20:G20"/>
    <mergeCell ref="F21:G21"/>
    <mergeCell ref="F27:G27"/>
    <mergeCell ref="F26:G26"/>
    <mergeCell ref="F24:G24"/>
    <mergeCell ref="F25:G25"/>
    <mergeCell ref="F22:G22"/>
    <mergeCell ref="F23:G23"/>
    <mergeCell ref="J51:J52"/>
    <mergeCell ref="A52:D53"/>
    <mergeCell ref="A54:D54"/>
    <mergeCell ref="G60:I60"/>
    <mergeCell ref="A55:D55"/>
    <mergeCell ref="A56:D57"/>
    <mergeCell ref="I56:J58"/>
    <mergeCell ref="A58:D58"/>
    <mergeCell ref="J53:J54"/>
    <mergeCell ref="I53:I54"/>
    <mergeCell ref="I51:I52"/>
    <mergeCell ref="F46:G46"/>
    <mergeCell ref="F47:G47"/>
    <mergeCell ref="F48:G48"/>
    <mergeCell ref="F49:G49"/>
    <mergeCell ref="A51:D51"/>
    <mergeCell ref="F45:G45"/>
    <mergeCell ref="F34:G34"/>
    <mergeCell ref="F35:G35"/>
    <mergeCell ref="F36:G36"/>
    <mergeCell ref="F37:G37"/>
    <mergeCell ref="F38:G38"/>
    <mergeCell ref="F39:G39"/>
    <mergeCell ref="F40:G40"/>
    <mergeCell ref="F41:G41"/>
    <mergeCell ref="F42:G42"/>
    <mergeCell ref="F43:G43"/>
    <mergeCell ref="F44:G44"/>
    <mergeCell ref="K15:L16"/>
    <mergeCell ref="K17:L18"/>
    <mergeCell ref="K51:K52"/>
    <mergeCell ref="L51:L52"/>
    <mergeCell ref="G1:J7"/>
    <mergeCell ref="F33:G33"/>
    <mergeCell ref="I15:J15"/>
    <mergeCell ref="I17:I18"/>
    <mergeCell ref="J17:J18"/>
    <mergeCell ref="F15:G18"/>
    <mergeCell ref="H15:H18"/>
    <mergeCell ref="F29:G29"/>
    <mergeCell ref="F30:G30"/>
    <mergeCell ref="F31:G31"/>
    <mergeCell ref="F28:G28"/>
    <mergeCell ref="F32:G32"/>
    <mergeCell ref="C3:D3"/>
    <mergeCell ref="A4:E6"/>
    <mergeCell ref="A11:B11"/>
    <mergeCell ref="A13:B13"/>
    <mergeCell ref="A15:A18"/>
    <mergeCell ref="B15:B18"/>
    <mergeCell ref="C15:C18"/>
    <mergeCell ref="D15:D18"/>
    <mergeCell ref="E15:E18"/>
  </mergeCells>
  <phoneticPr fontId="0" type="noConversion"/>
  <conditionalFormatting sqref="C19:C49">
    <cfRule type="expression" dxfId="20" priority="2">
      <formula>ISTEXT($C19)</formula>
    </cfRule>
  </conditionalFormatting>
  <conditionalFormatting sqref="A19:L49">
    <cfRule type="expression" dxfId="19" priority="1">
      <formula>OR($B19="Samstag", $B19="Sonntag", NOT( ISERROR(FIND("feiertag",LOWER($C19)) ) ) )</formula>
    </cfRule>
  </conditionalFormatting>
  <conditionalFormatting sqref="F19:F49">
    <cfRule type="expression" dxfId="18" priority="12">
      <formula>AND(ISNONTEXT($C19),$F19 &gt; 0.666667)</formula>
    </cfRule>
  </conditionalFormatting>
  <conditionalFormatting sqref="E19:E49">
    <cfRule type="expression" dxfId="17" priority="10">
      <formula>AND(ISNONTEXT($C19), OR(AND($F19 &gt; 0.250001, $E19 &lt; 0.020833332), AND($F19 &gt; 0.375, $E19 &lt; 0.03124999)  ) )</formula>
    </cfRule>
  </conditionalFormatting>
  <conditionalFormatting sqref="C19:I49">
    <cfRule type="expression" dxfId="16" priority="4">
      <formula>AND($B19="Samstag", $H$56&gt;0.00001)</formula>
    </cfRule>
    <cfRule type="expression" dxfId="15" priority="5">
      <formula>AND($B19="Sonntag", $H$57&gt;0.00001)</formula>
    </cfRule>
  </conditionalFormatting>
  <conditionalFormatting sqref="C19:J49">
    <cfRule type="expression" dxfId="14"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N62"/>
  <sheetViews>
    <sheetView topLeftCell="A13" zoomScaleNormal="100" workbookViewId="0">
      <selection activeCell="N29" sqref="N29"/>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36328125" style="18" customWidth="1"/>
    <col min="8" max="8" width="9.08984375" style="18" customWidth="1"/>
    <col min="9" max="9" width="10.36328125" style="18" customWidth="1"/>
    <col min="10" max="10" width="10.1796875" style="18" customWidth="1"/>
    <col min="11" max="11" width="2.90625" style="18" customWidth="1"/>
    <col min="12" max="12" width="8.90625" style="18" customWidth="1"/>
    <col min="13" max="13" width="16.36328125" style="229" customWidth="1"/>
    <col min="14" max="14" width="18.1796875" style="170" customWidth="1"/>
    <col min="15" max="16384" width="11.54296875" style="18"/>
  </cols>
  <sheetData>
    <row r="1" spans="1:12" ht="15.5" x14ac:dyDescent="0.35">
      <c r="A1" s="15" t="s">
        <v>72</v>
      </c>
      <c r="B1" s="15"/>
      <c r="C1" s="15"/>
      <c r="D1" s="15"/>
      <c r="E1" s="15"/>
      <c r="F1" s="17"/>
      <c r="G1" s="359" t="s">
        <v>9</v>
      </c>
      <c r="H1" s="359"/>
      <c r="I1" s="359"/>
      <c r="J1" s="359"/>
    </row>
    <row r="2" spans="1:12" ht="15.5" x14ac:dyDescent="0.35">
      <c r="A2" s="15"/>
      <c r="B2" s="15"/>
      <c r="C2" s="15"/>
      <c r="D2" s="15"/>
      <c r="E2" s="15"/>
      <c r="F2" s="19"/>
      <c r="G2" s="359"/>
      <c r="H2" s="359"/>
      <c r="I2" s="359"/>
      <c r="J2" s="359"/>
    </row>
    <row r="3" spans="1:12" x14ac:dyDescent="0.25">
      <c r="C3" s="380" t="s">
        <v>11</v>
      </c>
      <c r="D3" s="380"/>
      <c r="G3" s="359"/>
      <c r="H3" s="359"/>
      <c r="I3" s="359"/>
      <c r="J3" s="359"/>
    </row>
    <row r="4" spans="1:12" ht="13.25" customHeight="1" x14ac:dyDescent="0.25">
      <c r="A4" s="361" t="s">
        <v>5</v>
      </c>
      <c r="B4" s="361"/>
      <c r="C4" s="361"/>
      <c r="D4" s="361"/>
      <c r="E4" s="361"/>
      <c r="F4" s="22"/>
      <c r="G4" s="359"/>
      <c r="H4" s="359"/>
      <c r="I4" s="359"/>
      <c r="J4" s="359"/>
    </row>
    <row r="5" spans="1:12" ht="6" customHeight="1" x14ac:dyDescent="0.25">
      <c r="A5" s="361"/>
      <c r="B5" s="361"/>
      <c r="C5" s="361"/>
      <c r="D5" s="361"/>
      <c r="E5" s="361"/>
      <c r="F5" s="22"/>
      <c r="G5" s="359"/>
      <c r="H5" s="359"/>
      <c r="I5" s="359"/>
      <c r="J5" s="359"/>
    </row>
    <row r="6" spans="1:12" ht="13.25" customHeight="1" x14ac:dyDescent="0.25">
      <c r="A6" s="361"/>
      <c r="B6" s="361"/>
      <c r="C6" s="361"/>
      <c r="D6" s="361"/>
      <c r="E6" s="361"/>
      <c r="F6" s="22"/>
      <c r="G6" s="359"/>
      <c r="H6" s="359"/>
      <c r="I6" s="359"/>
      <c r="J6" s="359"/>
    </row>
    <row r="7" spans="1:12" ht="13.25" customHeight="1" x14ac:dyDescent="0.25">
      <c r="A7" s="22"/>
      <c r="B7" s="22"/>
      <c r="C7" s="22"/>
      <c r="D7" s="22"/>
      <c r="E7" s="22"/>
      <c r="F7" s="22"/>
      <c r="G7" s="359"/>
      <c r="H7" s="359"/>
      <c r="I7" s="359"/>
      <c r="J7" s="359"/>
    </row>
    <row r="8" spans="1:12" ht="6" customHeight="1" thickBot="1" x14ac:dyDescent="0.3">
      <c r="A8" s="23"/>
      <c r="B8" s="24"/>
      <c r="C8" s="24"/>
      <c r="D8" s="24"/>
      <c r="E8" s="25"/>
      <c r="F8" s="25"/>
      <c r="G8" s="25"/>
      <c r="H8" s="25"/>
      <c r="I8" s="26"/>
      <c r="J8" s="26"/>
      <c r="K8" s="27"/>
      <c r="L8" s="28"/>
    </row>
    <row r="9" spans="1:12" ht="6" customHeight="1" x14ac:dyDescent="0.25">
      <c r="A9" s="29"/>
      <c r="B9" s="30"/>
      <c r="C9" s="30"/>
      <c r="D9" s="30"/>
      <c r="E9" s="31"/>
      <c r="F9" s="31"/>
      <c r="G9" s="31"/>
      <c r="H9" s="31"/>
      <c r="I9" s="32"/>
      <c r="J9" s="32"/>
      <c r="K9" s="33"/>
      <c r="L9" s="34"/>
    </row>
    <row r="10" spans="1:12" x14ac:dyDescent="0.25">
      <c r="A10" s="29"/>
      <c r="B10" s="30"/>
      <c r="C10" s="30"/>
      <c r="D10" s="30"/>
      <c r="E10" s="31"/>
      <c r="F10" s="31"/>
      <c r="G10" s="31"/>
      <c r="I10" s="32"/>
      <c r="J10" s="32"/>
      <c r="K10" s="33"/>
      <c r="L10" s="34"/>
    </row>
    <row r="11" spans="1:12" x14ac:dyDescent="0.25">
      <c r="A11" s="357" t="s">
        <v>6</v>
      </c>
      <c r="B11" s="357"/>
      <c r="C11" s="35" t="str">
        <f>Okt!C11</f>
        <v>ATHENE, Pallas</v>
      </c>
      <c r="D11" s="36"/>
      <c r="E11" s="37"/>
      <c r="F11" s="38"/>
      <c r="G11" s="38" t="s">
        <v>8</v>
      </c>
      <c r="H11" s="39"/>
      <c r="I11" s="108" t="s">
        <v>21</v>
      </c>
      <c r="J11" s="41">
        <f>Jan!J11</f>
        <v>2024</v>
      </c>
      <c r="K11" s="42"/>
      <c r="L11" s="43"/>
    </row>
    <row r="12" spans="1:12" x14ac:dyDescent="0.25">
      <c r="B12" s="34"/>
      <c r="C12" s="44"/>
      <c r="D12" s="45"/>
      <c r="E12" s="38"/>
      <c r="F12" s="38"/>
      <c r="G12" s="31"/>
      <c r="I12" s="32"/>
      <c r="J12" s="32"/>
      <c r="K12" s="33"/>
      <c r="L12" s="34"/>
    </row>
    <row r="13" spans="1:12" x14ac:dyDescent="0.25">
      <c r="A13" s="357" t="s">
        <v>7</v>
      </c>
      <c r="B13" s="357"/>
      <c r="C13" s="35" t="str">
        <f>Okt!C13</f>
        <v>Geschäftsstelle</v>
      </c>
      <c r="D13" s="50"/>
      <c r="E13" s="37"/>
      <c r="F13" s="51"/>
      <c r="G13" s="51"/>
      <c r="H13" s="39"/>
      <c r="I13" s="36"/>
      <c r="J13" s="37"/>
      <c r="K13" s="42"/>
      <c r="L13" s="43"/>
    </row>
    <row r="14" spans="1:12" ht="13" thickBot="1" x14ac:dyDescent="0.3">
      <c r="K14" s="33"/>
      <c r="L14" s="34"/>
    </row>
    <row r="15" spans="1:12"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2" ht="13" thickBot="1" x14ac:dyDescent="0.3">
      <c r="A16" s="358"/>
      <c r="B16" s="358"/>
      <c r="C16" s="358"/>
      <c r="D16" s="358"/>
      <c r="E16" s="358"/>
      <c r="F16" s="365"/>
      <c r="G16" s="365"/>
      <c r="H16" s="363"/>
      <c r="I16" s="54" t="s">
        <v>1</v>
      </c>
      <c r="J16" s="54" t="s">
        <v>2</v>
      </c>
      <c r="K16" s="327"/>
      <c r="L16" s="328"/>
    </row>
    <row r="17" spans="1:14" ht="13" customHeight="1" thickBot="1" x14ac:dyDescent="0.3">
      <c r="A17" s="358"/>
      <c r="B17" s="358"/>
      <c r="C17" s="358"/>
      <c r="D17" s="358"/>
      <c r="E17" s="358"/>
      <c r="F17" s="365"/>
      <c r="G17" s="365"/>
      <c r="H17" s="363"/>
      <c r="I17" s="368">
        <f>IF(Mantelbogen!D26=I11,Mantelbogen!C28,Okt!I53)</f>
        <v>0.87500000000000155</v>
      </c>
      <c r="J17" s="369" t="str">
        <f>IF(Mantelbogen!D26=I11,Mantelbogen!D28,Okt!J53)</f>
        <v/>
      </c>
      <c r="K17" s="329" t="str">
        <f>IF(I17/H58 &gt; 1, I17/H58, " " )</f>
        <v xml:space="preserve"> </v>
      </c>
      <c r="L17" s="330"/>
    </row>
    <row r="18" spans="1:14" ht="13" customHeight="1" thickBot="1" x14ac:dyDescent="0.3">
      <c r="A18" s="358"/>
      <c r="B18" s="358"/>
      <c r="C18" s="358"/>
      <c r="D18" s="358"/>
      <c r="E18" s="358"/>
      <c r="F18" s="365"/>
      <c r="G18" s="365"/>
      <c r="H18" s="364"/>
      <c r="I18" s="368"/>
      <c r="J18" s="369"/>
      <c r="K18" s="331"/>
      <c r="L18" s="332"/>
    </row>
    <row r="19" spans="1:14" ht="17.399999999999999" customHeight="1" x14ac:dyDescent="0.3">
      <c r="A19" s="211">
        <v>1</v>
      </c>
      <c r="B19" s="203" t="str">
        <f t="shared" ref="B19:B48" si="0">TEXT(CONCATENATE(A19,".",I$11," ", J$11), "TTTT")</f>
        <v>Freitag</v>
      </c>
      <c r="C19" s="78" t="s">
        <v>31</v>
      </c>
      <c r="D19" s="79"/>
      <c r="E19" s="79"/>
      <c r="F19" s="353" t="str">
        <f t="shared" ref="F19" si="1">IF(OR(ISTEXT(C19),ISBLANK(C19)),"",D19-C19-E19)</f>
        <v/>
      </c>
      <c r="G19" s="354"/>
      <c r="H19" s="213" t="str">
        <f t="shared" ref="H19:H48" si="2">IF(AND(OR(ISTEXT(C19),ISBLANK(C19)),ISERR(SEARCH("ausgleich",C19,1))),"",INDEX(H$51:H$58,WEEKDAY(CONCATENATE(A19,".",I$11," ",J$11),2),1,1))</f>
        <v/>
      </c>
      <c r="I19" s="209">
        <v>0</v>
      </c>
      <c r="J19" s="208">
        <v>0</v>
      </c>
      <c r="K19" s="90" t="str">
        <f>IF(AND(B19="Sonntag",SUM(I19:I19)&lt;SUM(J19:J19)),"-","")</f>
        <v/>
      </c>
      <c r="L19" s="91" t="str">
        <f>IF(B19="Sonntag",ABS(SUM(I19:I19)-SUM(J19:J19)),"")</f>
        <v/>
      </c>
      <c r="N19" s="241"/>
    </row>
    <row r="20" spans="1:14" ht="17.399999999999999" customHeight="1" x14ac:dyDescent="0.25">
      <c r="A20" s="55">
        <v>2</v>
      </c>
      <c r="B20" s="56" t="str">
        <f t="shared" si="0"/>
        <v>Samstag</v>
      </c>
      <c r="C20" s="4">
        <v>0.35416666666666669</v>
      </c>
      <c r="D20" s="4">
        <v>0.70833333333333337</v>
      </c>
      <c r="E20" s="4">
        <v>2.0833333333333332E-2</v>
      </c>
      <c r="F20" s="346">
        <f t="shared" ref="F20:F48" si="3">IF(OR(ISTEXT(C20),ISBLANK(C20)),"",D20-C20-E20)</f>
        <v>0.33333333333333337</v>
      </c>
      <c r="G20" s="347"/>
      <c r="H20" s="212">
        <f t="shared" si="2"/>
        <v>0</v>
      </c>
      <c r="I20" s="195" t="str">
        <f t="shared" ref="I20:I47" si="4">IF(OR(AND(F20&gt;H20,OR(B20&lt;&gt;"Samstag",H$56&gt;0),OR(B20&lt;&gt;"Sonntag",H$57&gt;0),AND(ISNONTEXT(C20),C20&lt;&gt;""))),F20-H20,"")</f>
        <v/>
      </c>
      <c r="J20" s="5" t="str">
        <f t="shared" ref="J20:J48" si="5">IF(NOT(ISERR(SEARCH("ausgleich",C20,1))),H20, IF(AND(F20&lt;H20,B20&lt;&gt;"Samstag",B20&lt;&gt;"Sonntag",ISNONTEXT(C20)),H20-F20,""))</f>
        <v/>
      </c>
      <c r="K20" s="8" t="str">
        <f>IF(AND(B20="Sonntag",SUM(I19:I20)&lt;SUM(J19:J20)),"-","")</f>
        <v/>
      </c>
      <c r="L20" s="9" t="str">
        <f>IF(B20="Sonntag",ABS(SUM(I19:I20)-SUM(J19:J20)),"")</f>
        <v/>
      </c>
      <c r="M20" s="170"/>
    </row>
    <row r="21" spans="1:14" ht="17.399999999999999" customHeight="1" x14ac:dyDescent="0.25">
      <c r="A21" s="55">
        <v>3</v>
      </c>
      <c r="B21" s="56" t="str">
        <f t="shared" si="0"/>
        <v>Sonntag</v>
      </c>
      <c r="C21" s="4">
        <v>0.35416666666666669</v>
      </c>
      <c r="D21" s="4">
        <v>0.70833333333333337</v>
      </c>
      <c r="E21" s="4">
        <v>2.0833333333333332E-2</v>
      </c>
      <c r="F21" s="346">
        <f t="shared" si="3"/>
        <v>0.33333333333333337</v>
      </c>
      <c r="G21" s="347"/>
      <c r="H21" s="212">
        <f t="shared" si="2"/>
        <v>0</v>
      </c>
      <c r="I21" s="195" t="str">
        <f t="shared" si="4"/>
        <v/>
      </c>
      <c r="J21" s="5" t="str">
        <f t="shared" si="5"/>
        <v/>
      </c>
      <c r="K21" s="8" t="str">
        <f>IF(AND(B21="Sonntag",SUM(I19:I21)&lt;SUM(J19:J21)),"-","")</f>
        <v/>
      </c>
      <c r="L21" s="9">
        <f>IF(B21="Sonntag",ABS(SUM(I19:I21)-SUM(J19:J21)),"")</f>
        <v>0</v>
      </c>
    </row>
    <row r="22" spans="1:14" ht="17.399999999999999" customHeight="1" x14ac:dyDescent="0.25">
      <c r="A22" s="55">
        <v>4</v>
      </c>
      <c r="B22" s="56" t="str">
        <f t="shared" si="0"/>
        <v>Montag</v>
      </c>
      <c r="C22" s="4">
        <v>0.35416666666666669</v>
      </c>
      <c r="D22" s="4">
        <v>0.70833333333333337</v>
      </c>
      <c r="E22" s="4">
        <v>2.0833333333333332E-2</v>
      </c>
      <c r="F22" s="346">
        <f t="shared" si="3"/>
        <v>0.33333333333333337</v>
      </c>
      <c r="G22" s="347"/>
      <c r="H22" s="212">
        <f t="shared" si="2"/>
        <v>0.33333333333333331</v>
      </c>
      <c r="I22" s="195" t="str">
        <f t="shared" si="4"/>
        <v/>
      </c>
      <c r="J22" s="5" t="str">
        <f t="shared" si="5"/>
        <v/>
      </c>
      <c r="K22" s="8" t="str">
        <f>IF(AND(B22="Sonntag",SUM(I19:I22)&lt;SUM(J19:J22)),"-","")</f>
        <v/>
      </c>
      <c r="L22" s="9" t="str">
        <f>IF(B22="Sonntag",ABS(SUM(I19:I22)-SUM(J19:J22)),"")</f>
        <v/>
      </c>
    </row>
    <row r="23" spans="1:14" ht="17.399999999999999" customHeight="1" x14ac:dyDescent="0.25">
      <c r="A23" s="55">
        <v>5</v>
      </c>
      <c r="B23" s="56" t="str">
        <f t="shared" si="0"/>
        <v>Dienstag</v>
      </c>
      <c r="C23" s="4">
        <v>0.35416666666666669</v>
      </c>
      <c r="D23" s="4">
        <v>0.70833333333333337</v>
      </c>
      <c r="E23" s="4">
        <v>2.0833333333333332E-2</v>
      </c>
      <c r="F23" s="346">
        <f t="shared" si="3"/>
        <v>0.33333333333333337</v>
      </c>
      <c r="G23" s="347"/>
      <c r="H23" s="212">
        <f t="shared" si="2"/>
        <v>0.33333333333333331</v>
      </c>
      <c r="I23" s="195" t="str">
        <f t="shared" si="4"/>
        <v/>
      </c>
      <c r="J23" s="5" t="str">
        <f t="shared" si="5"/>
        <v/>
      </c>
      <c r="K23" s="8" t="str">
        <f>IF(AND(B23="Sonntag",SUM(I19:I23)&lt;SUM(J19:J23)),"-","")</f>
        <v/>
      </c>
      <c r="L23" s="9" t="str">
        <f>IF(B23="Sonntag",ABS(SUM(I19:I23)-SUM(J19:J23)),"")</f>
        <v/>
      </c>
    </row>
    <row r="24" spans="1:14" ht="17.399999999999999" customHeight="1" x14ac:dyDescent="0.25">
      <c r="A24" s="55">
        <v>6</v>
      </c>
      <c r="B24" s="56" t="str">
        <f t="shared" si="0"/>
        <v>Mittwoch</v>
      </c>
      <c r="C24" s="4">
        <v>0.35416666666666669</v>
      </c>
      <c r="D24" s="4">
        <v>0.70833333333333337</v>
      </c>
      <c r="E24" s="4">
        <v>2.0833333333333332E-2</v>
      </c>
      <c r="F24" s="346">
        <f t="shared" si="3"/>
        <v>0.33333333333333337</v>
      </c>
      <c r="G24" s="347"/>
      <c r="H24" s="212">
        <f t="shared" si="2"/>
        <v>0.33333333333333331</v>
      </c>
      <c r="I24" s="195" t="str">
        <f t="shared" si="4"/>
        <v/>
      </c>
      <c r="J24" s="5" t="str">
        <f t="shared" si="5"/>
        <v/>
      </c>
      <c r="K24" s="8" t="str">
        <f>IF(AND(B24="Sonntag",SUM(I19:I24)&lt;SUM(J19:J24)),"-","")</f>
        <v/>
      </c>
      <c r="L24" s="9" t="str">
        <f>IF(B24="Sonntag",ABS(SUM(I19:I24)-SUM(J19:J24)),"")</f>
        <v/>
      </c>
      <c r="N24" s="299" t="s">
        <v>125</v>
      </c>
    </row>
    <row r="25" spans="1:14" ht="17.399999999999999" customHeight="1" x14ac:dyDescent="0.25">
      <c r="A25" s="55">
        <v>7</v>
      </c>
      <c r="B25" s="56" t="str">
        <f t="shared" si="0"/>
        <v>Donnerstag</v>
      </c>
      <c r="C25" s="4">
        <v>0.35416666666666669</v>
      </c>
      <c r="D25" s="4">
        <v>0.70833333333333337</v>
      </c>
      <c r="E25" s="4">
        <v>2.0833333333333332E-2</v>
      </c>
      <c r="F25" s="346">
        <f t="shared" si="3"/>
        <v>0.33333333333333337</v>
      </c>
      <c r="G25" s="347"/>
      <c r="H25" s="212">
        <f t="shared" si="2"/>
        <v>0.33333333333333331</v>
      </c>
      <c r="I25" s="195" t="str">
        <f t="shared" si="4"/>
        <v/>
      </c>
      <c r="J25" s="5" t="str">
        <f t="shared" si="5"/>
        <v/>
      </c>
      <c r="K25" s="8" t="str">
        <f>IF(AND(B25="Sonntag",SUM(I19:I25)&lt;SUM(J19:J25)),"-","")</f>
        <v/>
      </c>
      <c r="L25" s="9" t="str">
        <f>IF(B25="Sonntag",ABS(SUM(I19:I25)-SUM(J19:J25)),"")</f>
        <v/>
      </c>
    </row>
    <row r="26" spans="1:14" ht="17.399999999999999" customHeight="1" x14ac:dyDescent="0.25">
      <c r="A26" s="55">
        <v>8</v>
      </c>
      <c r="B26" s="56" t="str">
        <f t="shared" si="0"/>
        <v>Freitag</v>
      </c>
      <c r="C26" s="4">
        <v>0.35416666666666669</v>
      </c>
      <c r="D26" s="4">
        <v>0.70833333333333337</v>
      </c>
      <c r="E26" s="4">
        <v>2.0833333333333332E-2</v>
      </c>
      <c r="F26" s="346">
        <f t="shared" si="3"/>
        <v>0.33333333333333337</v>
      </c>
      <c r="G26" s="347"/>
      <c r="H26" s="212">
        <f t="shared" si="2"/>
        <v>0.3125</v>
      </c>
      <c r="I26" s="195">
        <f t="shared" si="4"/>
        <v>2.083333333333337E-2</v>
      </c>
      <c r="J26" s="5" t="str">
        <f t="shared" si="5"/>
        <v/>
      </c>
      <c r="K26" s="8" t="str">
        <f>IF(AND(B26="Sonntag",SUM(I20:I26)&lt;SUM(J20:J26)),"-","")</f>
        <v/>
      </c>
      <c r="L26" s="9" t="str">
        <f>IF(B26="Sonntag",ABS(SUM(I20:I26)-SUM(J20:J26)),"")</f>
        <v/>
      </c>
    </row>
    <row r="27" spans="1:14" ht="17.399999999999999" customHeight="1" x14ac:dyDescent="0.25">
      <c r="A27" s="55">
        <v>9</v>
      </c>
      <c r="B27" s="56" t="str">
        <f t="shared" si="0"/>
        <v>Samstag</v>
      </c>
      <c r="C27" s="4">
        <v>0.35416666666666669</v>
      </c>
      <c r="D27" s="4">
        <v>0.70833333333333337</v>
      </c>
      <c r="E27" s="4">
        <v>2.0833333333333332E-2</v>
      </c>
      <c r="F27" s="346">
        <f t="shared" si="3"/>
        <v>0.33333333333333337</v>
      </c>
      <c r="G27" s="347"/>
      <c r="H27" s="212">
        <f t="shared" si="2"/>
        <v>0</v>
      </c>
      <c r="I27" s="195" t="str">
        <f t="shared" si="4"/>
        <v/>
      </c>
      <c r="J27" s="5" t="str">
        <f t="shared" si="5"/>
        <v/>
      </c>
      <c r="K27" s="8" t="str">
        <f>IF(AND(B27="Sonntag",SUM(I21:I27)&lt;SUM(J21:J27)),"-","")</f>
        <v/>
      </c>
      <c r="L27" s="9" t="str">
        <f>IF(B27="Sonntag",ABS(SUM(I21:I27)-SUM(J21:J27)),"")</f>
        <v/>
      </c>
    </row>
    <row r="28" spans="1:14" ht="17.399999999999999" customHeight="1" x14ac:dyDescent="0.25">
      <c r="A28" s="55">
        <v>10</v>
      </c>
      <c r="B28" s="56" t="str">
        <f t="shared" si="0"/>
        <v>Sonntag</v>
      </c>
      <c r="C28" s="4">
        <v>0.35416666666666669</v>
      </c>
      <c r="D28" s="4">
        <v>0.70833333333333337</v>
      </c>
      <c r="E28" s="4">
        <v>2.0833333333333332E-2</v>
      </c>
      <c r="F28" s="346">
        <f t="shared" si="3"/>
        <v>0.33333333333333337</v>
      </c>
      <c r="G28" s="347"/>
      <c r="H28" s="212">
        <f t="shared" si="2"/>
        <v>0</v>
      </c>
      <c r="I28" s="195" t="str">
        <f t="shared" si="4"/>
        <v/>
      </c>
      <c r="J28" s="5" t="str">
        <f t="shared" si="5"/>
        <v/>
      </c>
      <c r="K28" s="8" t="str">
        <f t="shared" ref="K28:K47" si="6">IF(AND(B28="Sonntag",SUM(I22:I28)&lt;SUM(J22:J28)),"-","")</f>
        <v/>
      </c>
      <c r="L28" s="9">
        <f t="shared" ref="L28:L47" si="7">IF(B28="Sonntag",ABS(SUM(I22:I28)-SUM(J22:J28)),"")</f>
        <v>2.083333333333337E-2</v>
      </c>
    </row>
    <row r="29" spans="1:14" ht="17.399999999999999" customHeight="1" x14ac:dyDescent="0.25">
      <c r="A29" s="55">
        <v>11</v>
      </c>
      <c r="B29" s="56" t="str">
        <f t="shared" si="0"/>
        <v>Montag</v>
      </c>
      <c r="C29" s="4">
        <v>0.35416666666666669</v>
      </c>
      <c r="D29" s="4">
        <v>0.70833333333333337</v>
      </c>
      <c r="E29" s="4">
        <v>2.0833333333333332E-2</v>
      </c>
      <c r="F29" s="346">
        <f t="shared" si="3"/>
        <v>0.33333333333333337</v>
      </c>
      <c r="G29" s="347"/>
      <c r="H29" s="212">
        <f t="shared" si="2"/>
        <v>0.33333333333333331</v>
      </c>
      <c r="I29" s="195" t="str">
        <f t="shared" si="4"/>
        <v/>
      </c>
      <c r="J29" s="5" t="str">
        <f t="shared" si="5"/>
        <v/>
      </c>
      <c r="K29" s="8" t="str">
        <f t="shared" si="6"/>
        <v/>
      </c>
      <c r="L29" s="9" t="str">
        <f t="shared" si="7"/>
        <v/>
      </c>
      <c r="N29" s="299"/>
    </row>
    <row r="30" spans="1:14" ht="17.399999999999999" customHeight="1" x14ac:dyDescent="0.25">
      <c r="A30" s="55">
        <v>12</v>
      </c>
      <c r="B30" s="56" t="str">
        <f t="shared" si="0"/>
        <v>Dienstag</v>
      </c>
      <c r="C30" s="4">
        <v>0.35416666666666669</v>
      </c>
      <c r="D30" s="4">
        <v>0.70833333333333337</v>
      </c>
      <c r="E30" s="4">
        <v>2.0833333333333332E-2</v>
      </c>
      <c r="F30" s="346">
        <f t="shared" si="3"/>
        <v>0.33333333333333337</v>
      </c>
      <c r="G30" s="347"/>
      <c r="H30" s="212">
        <f t="shared" si="2"/>
        <v>0.33333333333333331</v>
      </c>
      <c r="I30" s="195" t="str">
        <f t="shared" si="4"/>
        <v/>
      </c>
      <c r="J30" s="5" t="str">
        <f t="shared" si="5"/>
        <v/>
      </c>
      <c r="K30" s="8" t="str">
        <f t="shared" si="6"/>
        <v/>
      </c>
      <c r="L30" s="9" t="str">
        <f t="shared" si="7"/>
        <v/>
      </c>
    </row>
    <row r="31" spans="1:14" ht="17.399999999999999" customHeight="1" x14ac:dyDescent="0.25">
      <c r="A31" s="55">
        <v>13</v>
      </c>
      <c r="B31" s="56" t="str">
        <f t="shared" si="0"/>
        <v>Mittwoch</v>
      </c>
      <c r="C31" s="4">
        <v>0.35416666666666669</v>
      </c>
      <c r="D31" s="4">
        <v>0.70833333333333337</v>
      </c>
      <c r="E31" s="4">
        <v>2.0833333333333332E-2</v>
      </c>
      <c r="F31" s="346">
        <f t="shared" si="3"/>
        <v>0.33333333333333337</v>
      </c>
      <c r="G31" s="347"/>
      <c r="H31" s="212">
        <f t="shared" si="2"/>
        <v>0.33333333333333331</v>
      </c>
      <c r="I31" s="195" t="str">
        <f t="shared" si="4"/>
        <v/>
      </c>
      <c r="J31" s="5" t="str">
        <f t="shared" si="5"/>
        <v/>
      </c>
      <c r="K31" s="8" t="str">
        <f t="shared" si="6"/>
        <v/>
      </c>
      <c r="L31" s="9" t="str">
        <f t="shared" si="7"/>
        <v/>
      </c>
    </row>
    <row r="32" spans="1:14" ht="17.399999999999999" customHeight="1" x14ac:dyDescent="0.25">
      <c r="A32" s="55">
        <v>14</v>
      </c>
      <c r="B32" s="56" t="str">
        <f t="shared" si="0"/>
        <v>Donnerstag</v>
      </c>
      <c r="C32" s="4">
        <v>0.35416666666666669</v>
      </c>
      <c r="D32" s="4">
        <v>0.70833333333333337</v>
      </c>
      <c r="E32" s="4">
        <v>2.0833333333333332E-2</v>
      </c>
      <c r="F32" s="346">
        <f t="shared" si="3"/>
        <v>0.33333333333333337</v>
      </c>
      <c r="G32" s="347"/>
      <c r="H32" s="212">
        <f t="shared" si="2"/>
        <v>0.33333333333333331</v>
      </c>
      <c r="I32" s="195" t="str">
        <f t="shared" si="4"/>
        <v/>
      </c>
      <c r="J32" s="5" t="str">
        <f t="shared" si="5"/>
        <v/>
      </c>
      <c r="K32" s="8" t="str">
        <f t="shared" si="6"/>
        <v/>
      </c>
      <c r="L32" s="9" t="str">
        <f t="shared" si="7"/>
        <v/>
      </c>
    </row>
    <row r="33" spans="1:14" ht="17.399999999999999" customHeight="1" x14ac:dyDescent="0.25">
      <c r="A33" s="55">
        <v>15</v>
      </c>
      <c r="B33" s="56" t="str">
        <f t="shared" si="0"/>
        <v>Freitag</v>
      </c>
      <c r="C33" s="4">
        <v>0.35416666666666669</v>
      </c>
      <c r="D33" s="4">
        <v>0.70833333333333337</v>
      </c>
      <c r="E33" s="4">
        <v>2.0833333333333332E-2</v>
      </c>
      <c r="F33" s="346">
        <f t="shared" si="3"/>
        <v>0.33333333333333337</v>
      </c>
      <c r="G33" s="347"/>
      <c r="H33" s="212">
        <f t="shared" si="2"/>
        <v>0.3125</v>
      </c>
      <c r="I33" s="195">
        <f t="shared" si="4"/>
        <v>2.083333333333337E-2</v>
      </c>
      <c r="J33" s="5" t="str">
        <f t="shared" si="5"/>
        <v/>
      </c>
      <c r="K33" s="8" t="str">
        <f t="shared" si="6"/>
        <v/>
      </c>
      <c r="L33" s="9" t="str">
        <f t="shared" si="7"/>
        <v/>
      </c>
    </row>
    <row r="34" spans="1:14" ht="17.399999999999999" customHeight="1" x14ac:dyDescent="0.25">
      <c r="A34" s="55">
        <v>16</v>
      </c>
      <c r="B34" s="56" t="str">
        <f t="shared" si="0"/>
        <v>Samstag</v>
      </c>
      <c r="C34" s="4">
        <v>0.35416666666666669</v>
      </c>
      <c r="D34" s="4">
        <v>0.70833333333333337</v>
      </c>
      <c r="E34" s="4">
        <v>2.0833333333333332E-2</v>
      </c>
      <c r="F34" s="346">
        <f t="shared" si="3"/>
        <v>0.33333333333333337</v>
      </c>
      <c r="G34" s="347"/>
      <c r="H34" s="212">
        <f t="shared" si="2"/>
        <v>0</v>
      </c>
      <c r="I34" s="195" t="str">
        <f t="shared" si="4"/>
        <v/>
      </c>
      <c r="J34" s="5" t="str">
        <f t="shared" si="5"/>
        <v/>
      </c>
      <c r="K34" s="8" t="str">
        <f t="shared" si="6"/>
        <v/>
      </c>
      <c r="L34" s="9" t="str">
        <f t="shared" si="7"/>
        <v/>
      </c>
    </row>
    <row r="35" spans="1:14" ht="17.399999999999999" customHeight="1" x14ac:dyDescent="0.25">
      <c r="A35" s="55">
        <v>17</v>
      </c>
      <c r="B35" s="56" t="str">
        <f t="shared" si="0"/>
        <v>Sonntag</v>
      </c>
      <c r="C35" s="4">
        <v>0.35416666666666669</v>
      </c>
      <c r="D35" s="4">
        <v>0.70833333333333337</v>
      </c>
      <c r="E35" s="4">
        <v>2.0833333333333332E-2</v>
      </c>
      <c r="F35" s="346">
        <f t="shared" si="3"/>
        <v>0.33333333333333337</v>
      </c>
      <c r="G35" s="347"/>
      <c r="H35" s="212">
        <f t="shared" si="2"/>
        <v>0</v>
      </c>
      <c r="I35" s="195" t="str">
        <f t="shared" si="4"/>
        <v/>
      </c>
      <c r="J35" s="5" t="str">
        <f t="shared" si="5"/>
        <v/>
      </c>
      <c r="K35" s="8" t="str">
        <f t="shared" si="6"/>
        <v/>
      </c>
      <c r="L35" s="9">
        <f t="shared" si="7"/>
        <v>2.083333333333337E-2</v>
      </c>
    </row>
    <row r="36" spans="1:14" ht="17.399999999999999" customHeight="1" x14ac:dyDescent="0.25">
      <c r="A36" s="55">
        <v>18</v>
      </c>
      <c r="B36" s="56" t="str">
        <f t="shared" si="0"/>
        <v>Montag</v>
      </c>
      <c r="C36" s="4">
        <v>0.35416666666666669</v>
      </c>
      <c r="D36" s="4">
        <v>0.70833333333333337</v>
      </c>
      <c r="E36" s="4">
        <v>2.0833333333333332E-2</v>
      </c>
      <c r="F36" s="346">
        <f t="shared" si="3"/>
        <v>0.33333333333333337</v>
      </c>
      <c r="G36" s="347"/>
      <c r="H36" s="212">
        <f t="shared" si="2"/>
        <v>0.33333333333333331</v>
      </c>
      <c r="I36" s="195" t="str">
        <f t="shared" si="4"/>
        <v/>
      </c>
      <c r="J36" s="5" t="str">
        <f t="shared" si="5"/>
        <v/>
      </c>
      <c r="K36" s="8" t="str">
        <f t="shared" si="6"/>
        <v/>
      </c>
      <c r="L36" s="9" t="str">
        <f t="shared" si="7"/>
        <v/>
      </c>
    </row>
    <row r="37" spans="1:14" ht="17.399999999999999" customHeight="1" x14ac:dyDescent="0.25">
      <c r="A37" s="55">
        <v>19</v>
      </c>
      <c r="B37" s="56" t="str">
        <f t="shared" si="0"/>
        <v>Dienstag</v>
      </c>
      <c r="C37" s="4">
        <v>0.35416666666666669</v>
      </c>
      <c r="D37" s="4">
        <v>0.70833333333333337</v>
      </c>
      <c r="E37" s="4">
        <v>2.0833333333333332E-2</v>
      </c>
      <c r="F37" s="346">
        <f t="shared" si="3"/>
        <v>0.33333333333333337</v>
      </c>
      <c r="G37" s="347"/>
      <c r="H37" s="212">
        <f t="shared" si="2"/>
        <v>0.33333333333333331</v>
      </c>
      <c r="I37" s="195" t="str">
        <f t="shared" si="4"/>
        <v/>
      </c>
      <c r="J37" s="5" t="str">
        <f t="shared" si="5"/>
        <v/>
      </c>
      <c r="K37" s="8" t="str">
        <f t="shared" si="6"/>
        <v/>
      </c>
      <c r="L37" s="9" t="str">
        <f t="shared" si="7"/>
        <v/>
      </c>
    </row>
    <row r="38" spans="1:14" ht="17.399999999999999" customHeight="1" x14ac:dyDescent="0.25">
      <c r="A38" s="55">
        <v>20</v>
      </c>
      <c r="B38" s="56" t="str">
        <f t="shared" si="0"/>
        <v>Mittwoch</v>
      </c>
      <c r="C38" s="4">
        <v>0.35416666666666669</v>
      </c>
      <c r="D38" s="4">
        <v>0.70833333333333337</v>
      </c>
      <c r="E38" s="4">
        <v>2.0833333333333332E-2</v>
      </c>
      <c r="F38" s="346">
        <f t="shared" si="3"/>
        <v>0.33333333333333337</v>
      </c>
      <c r="G38" s="347"/>
      <c r="H38" s="212">
        <f t="shared" si="2"/>
        <v>0.33333333333333331</v>
      </c>
      <c r="I38" s="195" t="str">
        <f t="shared" si="4"/>
        <v/>
      </c>
      <c r="J38" s="5" t="str">
        <f t="shared" si="5"/>
        <v/>
      </c>
      <c r="K38" s="8" t="str">
        <f t="shared" si="6"/>
        <v/>
      </c>
      <c r="L38" s="9" t="str">
        <f t="shared" si="7"/>
        <v/>
      </c>
    </row>
    <row r="39" spans="1:14" ht="17.399999999999999" customHeight="1" x14ac:dyDescent="0.25">
      <c r="A39" s="55">
        <v>21</v>
      </c>
      <c r="B39" s="56" t="str">
        <f t="shared" si="0"/>
        <v>Donnerstag</v>
      </c>
      <c r="C39" s="4">
        <v>0.35416666666666669</v>
      </c>
      <c r="D39" s="4">
        <v>0.70833333333333337</v>
      </c>
      <c r="E39" s="4">
        <v>2.0833333333333332E-2</v>
      </c>
      <c r="F39" s="346">
        <f t="shared" si="3"/>
        <v>0.33333333333333337</v>
      </c>
      <c r="G39" s="347"/>
      <c r="H39" s="212">
        <f t="shared" si="2"/>
        <v>0.33333333333333331</v>
      </c>
      <c r="I39" s="195" t="str">
        <f t="shared" si="4"/>
        <v/>
      </c>
      <c r="J39" s="5" t="str">
        <f t="shared" si="5"/>
        <v/>
      </c>
      <c r="K39" s="8" t="str">
        <f t="shared" si="6"/>
        <v/>
      </c>
      <c r="L39" s="9" t="str">
        <f t="shared" si="7"/>
        <v/>
      </c>
    </row>
    <row r="40" spans="1:14" ht="17.399999999999999" customHeight="1" x14ac:dyDescent="0.25">
      <c r="A40" s="55">
        <v>22</v>
      </c>
      <c r="B40" s="56" t="str">
        <f t="shared" si="0"/>
        <v>Freitag</v>
      </c>
      <c r="C40" s="4">
        <v>0.35416666666666669</v>
      </c>
      <c r="D40" s="4">
        <v>0.70833333333333337</v>
      </c>
      <c r="E40" s="4">
        <v>2.0833333333333332E-2</v>
      </c>
      <c r="F40" s="346">
        <f t="shared" si="3"/>
        <v>0.33333333333333337</v>
      </c>
      <c r="G40" s="347"/>
      <c r="H40" s="212">
        <f t="shared" si="2"/>
        <v>0.3125</v>
      </c>
      <c r="I40" s="195">
        <f t="shared" si="4"/>
        <v>2.083333333333337E-2</v>
      </c>
      <c r="J40" s="5" t="str">
        <f t="shared" si="5"/>
        <v/>
      </c>
      <c r="K40" s="8" t="str">
        <f t="shared" si="6"/>
        <v/>
      </c>
      <c r="L40" s="9" t="str">
        <f t="shared" si="7"/>
        <v/>
      </c>
    </row>
    <row r="41" spans="1:14" ht="17.399999999999999" customHeight="1" x14ac:dyDescent="0.25">
      <c r="A41" s="55">
        <v>23</v>
      </c>
      <c r="B41" s="56" t="str">
        <f t="shared" si="0"/>
        <v>Samstag</v>
      </c>
      <c r="C41" s="4">
        <v>0.35416666666666669</v>
      </c>
      <c r="D41" s="4">
        <v>0.70833333333333337</v>
      </c>
      <c r="E41" s="4">
        <v>2.0833333333333332E-2</v>
      </c>
      <c r="F41" s="346">
        <f t="shared" si="3"/>
        <v>0.33333333333333337</v>
      </c>
      <c r="G41" s="347"/>
      <c r="H41" s="212">
        <f t="shared" si="2"/>
        <v>0</v>
      </c>
      <c r="I41" s="195" t="str">
        <f t="shared" si="4"/>
        <v/>
      </c>
      <c r="J41" s="5" t="str">
        <f t="shared" si="5"/>
        <v/>
      </c>
      <c r="K41" s="8" t="str">
        <f t="shared" si="6"/>
        <v/>
      </c>
      <c r="L41" s="9" t="str">
        <f t="shared" si="7"/>
        <v/>
      </c>
    </row>
    <row r="42" spans="1:14" ht="17.399999999999999" customHeight="1" x14ac:dyDescent="0.25">
      <c r="A42" s="55">
        <v>24</v>
      </c>
      <c r="B42" s="56" t="str">
        <f t="shared" si="0"/>
        <v>Sonntag</v>
      </c>
      <c r="C42" s="4">
        <v>0.35416666666666669</v>
      </c>
      <c r="D42" s="4">
        <v>0.70833333333333337</v>
      </c>
      <c r="E42" s="4">
        <v>2.0833333333333332E-2</v>
      </c>
      <c r="F42" s="346">
        <f t="shared" si="3"/>
        <v>0.33333333333333337</v>
      </c>
      <c r="G42" s="347"/>
      <c r="H42" s="212">
        <f t="shared" si="2"/>
        <v>0</v>
      </c>
      <c r="I42" s="195" t="str">
        <f t="shared" si="4"/>
        <v/>
      </c>
      <c r="J42" s="5" t="str">
        <f t="shared" si="5"/>
        <v/>
      </c>
      <c r="K42" s="8" t="str">
        <f t="shared" si="6"/>
        <v/>
      </c>
      <c r="L42" s="9">
        <f t="shared" si="7"/>
        <v>2.083333333333337E-2</v>
      </c>
    </row>
    <row r="43" spans="1:14" ht="17.399999999999999" customHeight="1" x14ac:dyDescent="0.25">
      <c r="A43" s="55">
        <v>25</v>
      </c>
      <c r="B43" s="56" t="str">
        <f t="shared" si="0"/>
        <v>Montag</v>
      </c>
      <c r="C43" s="4">
        <v>0.35416666666666669</v>
      </c>
      <c r="D43" s="4">
        <v>0.70833333333333337</v>
      </c>
      <c r="E43" s="4">
        <v>2.0833333333333332E-2</v>
      </c>
      <c r="F43" s="346">
        <f t="shared" si="3"/>
        <v>0.33333333333333337</v>
      </c>
      <c r="G43" s="347"/>
      <c r="H43" s="212">
        <f t="shared" si="2"/>
        <v>0.33333333333333331</v>
      </c>
      <c r="I43" s="195" t="str">
        <f t="shared" si="4"/>
        <v/>
      </c>
      <c r="J43" s="5" t="str">
        <f t="shared" si="5"/>
        <v/>
      </c>
      <c r="K43" s="8" t="str">
        <f t="shared" si="6"/>
        <v/>
      </c>
      <c r="L43" s="9" t="str">
        <f t="shared" si="7"/>
        <v/>
      </c>
    </row>
    <row r="44" spans="1:14" ht="17.399999999999999" customHeight="1" x14ac:dyDescent="0.25">
      <c r="A44" s="55">
        <v>26</v>
      </c>
      <c r="B44" s="56" t="str">
        <f t="shared" si="0"/>
        <v>Dienstag</v>
      </c>
      <c r="C44" s="4">
        <v>0.35416666666666669</v>
      </c>
      <c r="D44" s="4">
        <v>0.70833333333333337</v>
      </c>
      <c r="E44" s="4">
        <v>2.0833333333333332E-2</v>
      </c>
      <c r="F44" s="346">
        <f t="shared" si="3"/>
        <v>0.33333333333333337</v>
      </c>
      <c r="G44" s="347"/>
      <c r="H44" s="212">
        <f t="shared" si="2"/>
        <v>0.33333333333333331</v>
      </c>
      <c r="I44" s="195" t="str">
        <f t="shared" si="4"/>
        <v/>
      </c>
      <c r="J44" s="5" t="str">
        <f t="shared" si="5"/>
        <v/>
      </c>
      <c r="K44" s="8" t="str">
        <f t="shared" si="6"/>
        <v/>
      </c>
      <c r="L44" s="9" t="str">
        <f t="shared" si="7"/>
        <v/>
      </c>
    </row>
    <row r="45" spans="1:14" ht="17.399999999999999" customHeight="1" x14ac:dyDescent="0.25">
      <c r="A45" s="55">
        <v>27</v>
      </c>
      <c r="B45" s="56" t="str">
        <f t="shared" si="0"/>
        <v>Mittwoch</v>
      </c>
      <c r="C45" s="4">
        <v>0.35416666666666669</v>
      </c>
      <c r="D45" s="4">
        <v>0.70833333333333337</v>
      </c>
      <c r="E45" s="4">
        <v>2.0833333333333332E-2</v>
      </c>
      <c r="F45" s="346">
        <f t="shared" si="3"/>
        <v>0.33333333333333337</v>
      </c>
      <c r="G45" s="347"/>
      <c r="H45" s="212">
        <f t="shared" si="2"/>
        <v>0.33333333333333331</v>
      </c>
      <c r="I45" s="195" t="str">
        <f t="shared" si="4"/>
        <v/>
      </c>
      <c r="J45" s="5" t="str">
        <f t="shared" si="5"/>
        <v/>
      </c>
      <c r="K45" s="8" t="str">
        <f t="shared" si="6"/>
        <v/>
      </c>
      <c r="L45" s="9" t="str">
        <f t="shared" si="7"/>
        <v/>
      </c>
    </row>
    <row r="46" spans="1:14" ht="17.399999999999999" customHeight="1" x14ac:dyDescent="0.25">
      <c r="A46" s="55">
        <v>28</v>
      </c>
      <c r="B46" s="56" t="str">
        <f t="shared" si="0"/>
        <v>Donnerstag</v>
      </c>
      <c r="C46" s="4">
        <v>0.35416666666666669</v>
      </c>
      <c r="D46" s="4">
        <v>0.70833333333333337</v>
      </c>
      <c r="E46" s="4">
        <v>2.0833333333333332E-2</v>
      </c>
      <c r="F46" s="346">
        <f t="shared" si="3"/>
        <v>0.33333333333333337</v>
      </c>
      <c r="G46" s="347"/>
      <c r="H46" s="212">
        <f t="shared" si="2"/>
        <v>0.33333333333333331</v>
      </c>
      <c r="I46" s="195" t="str">
        <f t="shared" si="4"/>
        <v/>
      </c>
      <c r="J46" s="5" t="str">
        <f t="shared" si="5"/>
        <v/>
      </c>
      <c r="K46" s="8" t="str">
        <f t="shared" si="6"/>
        <v/>
      </c>
      <c r="L46" s="9" t="str">
        <f t="shared" si="7"/>
        <v/>
      </c>
    </row>
    <row r="47" spans="1:14" ht="17.399999999999999" customHeight="1" x14ac:dyDescent="0.25">
      <c r="A47" s="55">
        <v>29</v>
      </c>
      <c r="B47" s="56" t="str">
        <f t="shared" si="0"/>
        <v>Freitag</v>
      </c>
      <c r="C47" s="4">
        <v>0.35416666666666669</v>
      </c>
      <c r="D47" s="4">
        <v>0.70833333333333337</v>
      </c>
      <c r="E47" s="4">
        <v>2.0833333333333332E-2</v>
      </c>
      <c r="F47" s="346">
        <f t="shared" si="3"/>
        <v>0.33333333333333337</v>
      </c>
      <c r="G47" s="347"/>
      <c r="H47" s="212">
        <f t="shared" si="2"/>
        <v>0.3125</v>
      </c>
      <c r="I47" s="195">
        <f t="shared" si="4"/>
        <v>2.083333333333337E-2</v>
      </c>
      <c r="J47" s="5" t="str">
        <f t="shared" si="5"/>
        <v/>
      </c>
      <c r="K47" s="8" t="str">
        <f t="shared" si="6"/>
        <v/>
      </c>
      <c r="L47" s="9" t="str">
        <f t="shared" si="7"/>
        <v/>
      </c>
      <c r="N47" s="299" t="str">
        <f>IF(Mantelbogen!$C$8="Geschäftsstelle", "2024 Klassenstzg", "")</f>
        <v>2024 Klassenstzg</v>
      </c>
    </row>
    <row r="48" spans="1:14" ht="17.399999999999999" customHeight="1" x14ac:dyDescent="0.3">
      <c r="A48" s="106">
        <v>30</v>
      </c>
      <c r="B48" s="107" t="str">
        <f t="shared" si="0"/>
        <v>Samstag</v>
      </c>
      <c r="C48" s="87">
        <v>0.35416666666666669</v>
      </c>
      <c r="D48" s="87">
        <v>0.70833333333333337</v>
      </c>
      <c r="E48" s="87">
        <v>2.0833333333333332E-2</v>
      </c>
      <c r="F48" s="346">
        <f t="shared" si="3"/>
        <v>0.33333333333333337</v>
      </c>
      <c r="G48" s="347"/>
      <c r="H48" s="212">
        <f t="shared" si="2"/>
        <v>0</v>
      </c>
      <c r="I48" s="195" t="str">
        <f t="shared" ref="I48" si="8">IF(OR(AND(F48&gt;H48,OR(B48&lt;&gt;"Samstag",H$56&gt;0),OR(B48&lt;&gt;"Sonntag",H$57&gt;0),AND(ISNONTEXT(C48),C48&lt;&gt;""))),F48-H48,"")</f>
        <v/>
      </c>
      <c r="J48" s="5" t="str">
        <f t="shared" si="5"/>
        <v/>
      </c>
      <c r="K48" s="184" t="str">
        <f ca="1">IF(SUM(INDIRECT("I"&amp;ROW()-WEEKDAY(CONCATENATE(A48,".",I$11," ",J$11),3)):I50) &lt; SUM(INDIRECT("j"&amp;ROW()-WEEKDAY(CONCATENATE(A48,".",I$11," ",J$11),3)):J50),"-","")</f>
        <v/>
      </c>
      <c r="L48" s="11">
        <f ca="1">ABS(SUM(INDIRECT("I"&amp;ROW()-WEEKDAY(CONCATENATE(A48,".",I$11," ",J$11),3)):I50)-SUM(INDIRECT("j"&amp;ROW()-WEEKDAY(CONCATENATE(A48,".",I$11," ",J$11),3)):J50))</f>
        <v>2.083333333333337E-2</v>
      </c>
      <c r="N48" s="299" t="str">
        <f>IF(Mantelbogen!$C$8="Geschäftsstelle", "2024 Gesamtstzg", "")</f>
        <v>2024 Gesamtstzg</v>
      </c>
    </row>
    <row r="49" spans="1:14" s="68" customFormat="1" ht="17.399999999999999" customHeight="1" x14ac:dyDescent="0.25">
      <c r="A49" s="109"/>
      <c r="B49" s="110"/>
      <c r="C49" s="111"/>
      <c r="D49" s="112"/>
      <c r="E49" s="112"/>
      <c r="F49" s="175"/>
      <c r="G49" s="63"/>
      <c r="H49" s="174"/>
      <c r="I49" s="64"/>
      <c r="J49" s="65"/>
      <c r="K49" s="66"/>
      <c r="L49" s="67"/>
      <c r="M49" s="244"/>
      <c r="N49" s="171"/>
    </row>
    <row r="50" spans="1:14" s="68" customFormat="1" ht="17.399999999999999" customHeight="1" thickBot="1" x14ac:dyDescent="0.3">
      <c r="A50" s="59" t="str">
        <f>Jan!A50</f>
        <v>Sonstige Zeiten laut beigefügter Aufstellung (s. Anlage):</v>
      </c>
      <c r="B50" s="60"/>
      <c r="C50" s="61"/>
      <c r="D50" s="62"/>
      <c r="E50" s="62"/>
      <c r="F50" s="62"/>
      <c r="G50" s="62"/>
      <c r="H50" s="63"/>
      <c r="I50" s="219">
        <v>0</v>
      </c>
      <c r="J50" s="220">
        <v>0</v>
      </c>
      <c r="K50" s="66"/>
      <c r="L50" s="67"/>
      <c r="M50" s="244"/>
      <c r="N50" s="171"/>
    </row>
    <row r="51" spans="1:14" x14ac:dyDescent="0.25">
      <c r="A51" s="338" t="s">
        <v>3</v>
      </c>
      <c r="B51" s="338"/>
      <c r="C51" s="338"/>
      <c r="D51" s="338"/>
      <c r="H51" s="69">
        <f>Okt!H51</f>
        <v>0.33333333333333331</v>
      </c>
      <c r="I51" s="351">
        <f>SUM(I17:I50)</f>
        <v>0.95833333333333504</v>
      </c>
      <c r="J51" s="351">
        <f>SUM(J17:J50)</f>
        <v>0</v>
      </c>
      <c r="K51" s="333" t="str">
        <f ca="1">IF(SUMIF(K19:K50,"",L19:L50)&lt;SUMIF(K19:K50,"-",L19:L50),"-","")</f>
        <v/>
      </c>
      <c r="L51" s="335">
        <f ca="1">ABS(SUMIF(K19:K50,"",L19:L50)-SUMIF(K19:K50,"-",L19:L50))</f>
        <v>8.3333333333333481E-2</v>
      </c>
    </row>
    <row r="52" spans="1:14" ht="13.5" thickBot="1" x14ac:dyDescent="0.35">
      <c r="A52" s="339"/>
      <c r="B52" s="339"/>
      <c r="C52" s="339"/>
      <c r="D52" s="339"/>
      <c r="G52" s="70" t="s">
        <v>12</v>
      </c>
      <c r="H52" s="69">
        <f>Okt!H52</f>
        <v>0.33333333333333331</v>
      </c>
      <c r="I52" s="352"/>
      <c r="J52" s="352"/>
      <c r="K52" s="334"/>
      <c r="L52" s="336"/>
    </row>
    <row r="53" spans="1:14" x14ac:dyDescent="0.25">
      <c r="A53" s="339"/>
      <c r="B53" s="339"/>
      <c r="C53" s="339"/>
      <c r="D53" s="339"/>
      <c r="G53" s="71"/>
      <c r="H53" s="69">
        <f>Okt!H53</f>
        <v>0.33333333333333331</v>
      </c>
      <c r="I53" s="344">
        <f>IF(I51&gt;J51,I51-J51,0)</f>
        <v>0.95833333333333504</v>
      </c>
      <c r="J53" s="342" t="str">
        <f>IF(J51&gt;I51,J51-I51,"")</f>
        <v/>
      </c>
      <c r="K53" s="231"/>
      <c r="L53" s="231"/>
    </row>
    <row r="54" spans="1:14" ht="13.5" thickBot="1" x14ac:dyDescent="0.35">
      <c r="A54" s="341" t="s">
        <v>15</v>
      </c>
      <c r="B54" s="341"/>
      <c r="C54" s="341"/>
      <c r="D54" s="341"/>
      <c r="E54" s="72"/>
      <c r="F54" s="72"/>
      <c r="G54" s="70" t="s">
        <v>13</v>
      </c>
      <c r="H54" s="69">
        <f>Okt!H54</f>
        <v>0.33333333333333331</v>
      </c>
      <c r="I54" s="345"/>
      <c r="J54" s="343"/>
      <c r="K54" s="231"/>
      <c r="L54" s="231"/>
    </row>
    <row r="55" spans="1:14" x14ac:dyDescent="0.25">
      <c r="A55" s="338" t="s">
        <v>4</v>
      </c>
      <c r="B55" s="338"/>
      <c r="C55" s="338"/>
      <c r="D55" s="338"/>
      <c r="E55" s="72"/>
      <c r="F55" s="72"/>
      <c r="G55" s="72"/>
      <c r="H55" s="69">
        <f>Okt!H55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IF(Mantelbogen!D26=I11,Mantelbogen!C29,Okt!G58))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1">
    <mergeCell ref="J53:J54"/>
    <mergeCell ref="I53:I54"/>
    <mergeCell ref="A51:D51"/>
    <mergeCell ref="I51:I52"/>
    <mergeCell ref="J51:J52"/>
    <mergeCell ref="A52:D53"/>
    <mergeCell ref="A54:D54"/>
    <mergeCell ref="G60:I60"/>
    <mergeCell ref="A55:D55"/>
    <mergeCell ref="A56:D57"/>
    <mergeCell ref="I56:J58"/>
    <mergeCell ref="A58:D58"/>
    <mergeCell ref="F44:G44"/>
    <mergeCell ref="F45:G45"/>
    <mergeCell ref="F46:G46"/>
    <mergeCell ref="F47:G47"/>
    <mergeCell ref="F48:G48"/>
    <mergeCell ref="F43:G43"/>
    <mergeCell ref="F32:G32"/>
    <mergeCell ref="F33:G33"/>
    <mergeCell ref="F34:G34"/>
    <mergeCell ref="F35:G35"/>
    <mergeCell ref="F36:G36"/>
    <mergeCell ref="F37:G37"/>
    <mergeCell ref="F38:G38"/>
    <mergeCell ref="F39:G39"/>
    <mergeCell ref="F40:G40"/>
    <mergeCell ref="F41:G41"/>
    <mergeCell ref="F42:G42"/>
    <mergeCell ref="F21:G21"/>
    <mergeCell ref="F26:G26"/>
    <mergeCell ref="F29:G29"/>
    <mergeCell ref="F30:G30"/>
    <mergeCell ref="F31:G31"/>
    <mergeCell ref="F27:G27"/>
    <mergeCell ref="F28:G28"/>
    <mergeCell ref="K51:K52"/>
    <mergeCell ref="K15:L16"/>
    <mergeCell ref="K17:L18"/>
    <mergeCell ref="L51:L52"/>
    <mergeCell ref="G1:J7"/>
    <mergeCell ref="I15:J15"/>
    <mergeCell ref="I17:I18"/>
    <mergeCell ref="J17:J18"/>
    <mergeCell ref="F15:G18"/>
    <mergeCell ref="H15:H18"/>
    <mergeCell ref="F24:G24"/>
    <mergeCell ref="F25:G25"/>
    <mergeCell ref="F20:G20"/>
    <mergeCell ref="F19:G19"/>
    <mergeCell ref="F22:G22"/>
    <mergeCell ref="F23:G23"/>
    <mergeCell ref="C3:D3"/>
    <mergeCell ref="A4:E6"/>
    <mergeCell ref="A11:B11"/>
    <mergeCell ref="A13:B13"/>
    <mergeCell ref="A15:A18"/>
    <mergeCell ref="B15:B18"/>
    <mergeCell ref="C15:C18"/>
    <mergeCell ref="D15:D18"/>
    <mergeCell ref="E15:E18"/>
  </mergeCells>
  <phoneticPr fontId="0" type="noConversion"/>
  <conditionalFormatting sqref="C19:C49">
    <cfRule type="expression" dxfId="13" priority="2">
      <formula>ISTEXT($C19)</formula>
    </cfRule>
  </conditionalFormatting>
  <conditionalFormatting sqref="A19:L49">
    <cfRule type="expression" dxfId="12" priority="1">
      <formula>OR($B19="Samstag", $B19="Sonntag", NOT( ISERROR(FIND("feiertag",LOWER($C19)) ) ) )</formula>
    </cfRule>
  </conditionalFormatting>
  <conditionalFormatting sqref="F19:F49">
    <cfRule type="expression" dxfId="11" priority="13">
      <formula>AND(ISNONTEXT($C19),$F19 &gt; 0.666667)</formula>
    </cfRule>
  </conditionalFormatting>
  <conditionalFormatting sqref="E19:E49">
    <cfRule type="expression" dxfId="10" priority="11">
      <formula>AND(ISNONTEXT($C19), OR(AND($F19 &gt; 0.250001, $E19 &lt; 0.020833332), AND($F19 &gt; 0.375, $E19 &lt; 0.03124999)  ) )</formula>
    </cfRule>
  </conditionalFormatting>
  <conditionalFormatting sqref="C19:I49">
    <cfRule type="expression" dxfId="9" priority="4">
      <formula>AND($B19="Samstag", $H$56&gt;0.00001)</formula>
    </cfRule>
    <cfRule type="expression" dxfId="8" priority="5">
      <formula>AND($B19="Sonntag", $H$57&gt;0.00001)</formula>
    </cfRule>
  </conditionalFormatting>
  <conditionalFormatting sqref="C19:J49">
    <cfRule type="expression" dxfId="7"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pageSetUpPr fitToPage="1"/>
  </sheetPr>
  <dimension ref="A1:O58"/>
  <sheetViews>
    <sheetView zoomScaleNormal="100" workbookViewId="0">
      <selection activeCell="I56" sqref="I56:J58"/>
    </sheetView>
  </sheetViews>
  <sheetFormatPr defaultColWidth="11.54296875" defaultRowHeight="12.5" x14ac:dyDescent="0.25"/>
  <cols>
    <col min="1" max="1" width="5.54296875" style="20" customWidth="1"/>
    <col min="2" max="2" width="9.08984375" style="21" customWidth="1"/>
    <col min="3" max="3" width="9.54296875" style="21" customWidth="1"/>
    <col min="4" max="4" width="9.08984375" style="21" customWidth="1"/>
    <col min="5" max="5" width="8.54296875" style="18" customWidth="1"/>
    <col min="6" max="6" width="7.08984375" style="18" customWidth="1"/>
    <col min="7" max="7" width="3.36328125" style="18" customWidth="1"/>
    <col min="8" max="8" width="9.08984375" style="18" customWidth="1"/>
    <col min="9" max="9" width="10.1796875" style="18" customWidth="1"/>
    <col min="10" max="10" width="10.36328125" style="18" customWidth="1"/>
    <col min="11" max="11" width="2.90625" style="18" customWidth="1"/>
    <col min="12" max="12" width="8.90625" style="18" customWidth="1"/>
    <col min="13" max="13" width="16.36328125" style="170" customWidth="1"/>
    <col min="14" max="14" width="18.1796875" style="170" customWidth="1"/>
    <col min="15" max="16384" width="11.54296875" style="18"/>
  </cols>
  <sheetData>
    <row r="1" spans="1:12" ht="15.5" x14ac:dyDescent="0.35">
      <c r="A1" s="15" t="s">
        <v>72</v>
      </c>
      <c r="B1" s="15"/>
      <c r="C1" s="16"/>
      <c r="D1" s="16"/>
      <c r="E1" s="16"/>
      <c r="F1" s="17"/>
      <c r="G1" s="359" t="s">
        <v>9</v>
      </c>
      <c r="H1" s="359"/>
      <c r="I1" s="359"/>
      <c r="J1" s="359"/>
    </row>
    <row r="2" spans="1:12" ht="15.5" x14ac:dyDescent="0.35">
      <c r="A2" s="16"/>
      <c r="B2" s="16"/>
      <c r="C2" s="16"/>
      <c r="D2" s="16"/>
      <c r="E2" s="16"/>
      <c r="F2" s="19"/>
      <c r="G2" s="359"/>
      <c r="H2" s="359"/>
      <c r="I2" s="359"/>
      <c r="J2" s="359"/>
    </row>
    <row r="3" spans="1:12" x14ac:dyDescent="0.25">
      <c r="C3" s="380" t="s">
        <v>11</v>
      </c>
      <c r="D3" s="380"/>
      <c r="G3" s="359"/>
      <c r="H3" s="359"/>
      <c r="I3" s="359"/>
      <c r="J3" s="359"/>
    </row>
    <row r="4" spans="1:12" ht="13.25" customHeight="1" x14ac:dyDescent="0.25">
      <c r="A4" s="361" t="s">
        <v>5</v>
      </c>
      <c r="B4" s="361"/>
      <c r="C4" s="361"/>
      <c r="D4" s="361"/>
      <c r="E4" s="361"/>
      <c r="F4" s="22"/>
      <c r="G4" s="359"/>
      <c r="H4" s="359"/>
      <c r="I4" s="359"/>
      <c r="J4" s="359"/>
    </row>
    <row r="5" spans="1:12" ht="6" customHeight="1" x14ac:dyDescent="0.25">
      <c r="A5" s="361"/>
      <c r="B5" s="361"/>
      <c r="C5" s="361"/>
      <c r="D5" s="361"/>
      <c r="E5" s="361"/>
      <c r="F5" s="22"/>
      <c r="G5" s="359"/>
      <c r="H5" s="359"/>
      <c r="I5" s="359"/>
      <c r="J5" s="359"/>
    </row>
    <row r="6" spans="1:12" ht="13.25" customHeight="1" x14ac:dyDescent="0.25">
      <c r="A6" s="361"/>
      <c r="B6" s="361"/>
      <c r="C6" s="361"/>
      <c r="D6" s="361"/>
      <c r="E6" s="361"/>
      <c r="F6" s="22"/>
      <c r="G6" s="359"/>
      <c r="H6" s="359"/>
      <c r="I6" s="359"/>
      <c r="J6" s="359"/>
    </row>
    <row r="7" spans="1:12" ht="13.25" customHeight="1" x14ac:dyDescent="0.25">
      <c r="A7" s="22"/>
      <c r="B7" s="22"/>
      <c r="C7" s="22"/>
      <c r="D7" s="22"/>
      <c r="E7" s="22"/>
      <c r="F7" s="22"/>
      <c r="G7" s="359"/>
      <c r="H7" s="359"/>
      <c r="I7" s="359"/>
      <c r="J7" s="359"/>
    </row>
    <row r="8" spans="1:12" ht="6" customHeight="1" thickBot="1" x14ac:dyDescent="0.3">
      <c r="A8" s="23"/>
      <c r="B8" s="24"/>
      <c r="C8" s="24"/>
      <c r="D8" s="24"/>
      <c r="E8" s="25"/>
      <c r="F8" s="25"/>
      <c r="G8" s="25"/>
      <c r="H8" s="25"/>
      <c r="I8" s="26"/>
      <c r="J8" s="26"/>
      <c r="K8" s="27"/>
      <c r="L8" s="28"/>
    </row>
    <row r="9" spans="1:12" ht="6" customHeight="1" x14ac:dyDescent="0.25">
      <c r="A9" s="29"/>
      <c r="B9" s="30"/>
      <c r="C9" s="30"/>
      <c r="D9" s="30"/>
      <c r="E9" s="31"/>
      <c r="F9" s="31"/>
      <c r="G9" s="31"/>
      <c r="H9" s="31"/>
      <c r="I9" s="32"/>
      <c r="J9" s="32"/>
      <c r="K9" s="33"/>
      <c r="L9" s="34"/>
    </row>
    <row r="10" spans="1:12" x14ac:dyDescent="0.25">
      <c r="A10" s="29"/>
      <c r="B10" s="30"/>
      <c r="C10" s="30"/>
      <c r="D10" s="30"/>
      <c r="E10" s="31"/>
      <c r="F10" s="31"/>
      <c r="G10" s="31"/>
      <c r="I10" s="32"/>
      <c r="J10" s="32"/>
      <c r="K10" s="33"/>
      <c r="L10" s="34"/>
    </row>
    <row r="11" spans="1:12" x14ac:dyDescent="0.25">
      <c r="A11" s="357" t="s">
        <v>6</v>
      </c>
      <c r="B11" s="357"/>
      <c r="C11" s="35" t="str">
        <f>Nov!C11</f>
        <v>ATHENE, Pallas</v>
      </c>
      <c r="D11" s="36"/>
      <c r="E11" s="37"/>
      <c r="F11" s="38"/>
      <c r="G11" s="38" t="s">
        <v>8</v>
      </c>
      <c r="H11" s="39"/>
      <c r="I11" s="108" t="s">
        <v>18</v>
      </c>
      <c r="J11" s="41">
        <f>Jan!J11</f>
        <v>2024</v>
      </c>
      <c r="K11" s="42"/>
      <c r="L11" s="43"/>
    </row>
    <row r="12" spans="1:12" x14ac:dyDescent="0.25">
      <c r="B12" s="34"/>
      <c r="C12" s="44"/>
      <c r="D12" s="45"/>
      <c r="E12" s="38"/>
      <c r="F12" s="38"/>
      <c r="G12" s="31"/>
      <c r="I12" s="32"/>
      <c r="J12" s="32"/>
      <c r="K12" s="33"/>
      <c r="L12" s="34"/>
    </row>
    <row r="13" spans="1:12" x14ac:dyDescent="0.25">
      <c r="A13" s="357" t="s">
        <v>7</v>
      </c>
      <c r="B13" s="357"/>
      <c r="C13" s="35" t="str">
        <f>Nov!C13</f>
        <v>Geschäftsstelle</v>
      </c>
      <c r="D13" s="50"/>
      <c r="E13" s="37"/>
      <c r="F13" s="51"/>
      <c r="G13" s="51"/>
      <c r="H13" s="39"/>
      <c r="I13" s="36"/>
      <c r="J13" s="37"/>
      <c r="K13" s="42"/>
      <c r="L13" s="43"/>
    </row>
    <row r="14" spans="1:12" ht="13" thickBot="1" x14ac:dyDescent="0.3">
      <c r="K14" s="33"/>
      <c r="L14" s="34"/>
    </row>
    <row r="15" spans="1:12"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2" ht="13" thickBot="1" x14ac:dyDescent="0.3">
      <c r="A16" s="358"/>
      <c r="B16" s="358"/>
      <c r="C16" s="358"/>
      <c r="D16" s="358"/>
      <c r="E16" s="358"/>
      <c r="F16" s="365"/>
      <c r="G16" s="365"/>
      <c r="H16" s="363"/>
      <c r="I16" s="54" t="s">
        <v>1</v>
      </c>
      <c r="J16" s="54" t="s">
        <v>2</v>
      </c>
      <c r="K16" s="327"/>
      <c r="L16" s="328"/>
    </row>
    <row r="17" spans="1:12" ht="13" thickBot="1" x14ac:dyDescent="0.3">
      <c r="A17" s="358"/>
      <c r="B17" s="358"/>
      <c r="C17" s="358"/>
      <c r="D17" s="358"/>
      <c r="E17" s="358"/>
      <c r="F17" s="365"/>
      <c r="G17" s="365"/>
      <c r="H17" s="363"/>
      <c r="I17" s="368">
        <f>IF(Mantelbogen!D26=I11,Mantelbogen!C28,Nov!I53)</f>
        <v>0.95833333333333504</v>
      </c>
      <c r="J17" s="369" t="str">
        <f>IF(Mantelbogen!D26=I11,Mantelbogen!D28,Nov!J53)</f>
        <v/>
      </c>
      <c r="K17" s="329" t="str">
        <f>IF(I17/H58 &gt; 1, I17/H58, " " )</f>
        <v xml:space="preserve"> </v>
      </c>
      <c r="L17" s="330"/>
    </row>
    <row r="18" spans="1:12" ht="13" thickBot="1" x14ac:dyDescent="0.3">
      <c r="A18" s="358"/>
      <c r="B18" s="358"/>
      <c r="C18" s="358"/>
      <c r="D18" s="358"/>
      <c r="E18" s="358"/>
      <c r="F18" s="365"/>
      <c r="G18" s="365"/>
      <c r="H18" s="364"/>
      <c r="I18" s="368"/>
      <c r="J18" s="369"/>
      <c r="K18" s="331"/>
      <c r="L18" s="332"/>
    </row>
    <row r="19" spans="1:12" ht="17.399999999999999" customHeight="1" x14ac:dyDescent="0.25">
      <c r="A19" s="55">
        <v>1</v>
      </c>
      <c r="B19" s="56" t="str">
        <f t="shared" ref="B19:B49" si="0">TEXT(CONCATENATE(A19,".",I$11," ", J$11), "TTTT")</f>
        <v>Sonntag</v>
      </c>
      <c r="C19" s="4">
        <v>0.35416666666666669</v>
      </c>
      <c r="D19" s="4">
        <v>0.70833333333333337</v>
      </c>
      <c r="E19" s="4">
        <v>2.0833333333333332E-2</v>
      </c>
      <c r="F19" s="346">
        <f t="shared" ref="F19:F47" si="1">IF(OR(ISTEXT(C19),ISBLANK(C19)),"",D19-C19-E19)</f>
        <v>0.33333333333333337</v>
      </c>
      <c r="G19" s="347"/>
      <c r="H19" s="212">
        <f t="shared" ref="H19:H47" si="2">IF(AND(OR(ISTEXT(C19),ISBLANK(C19)),ISERR(SEARCH("ausgleich",C19,1))),"",INDEX(H$51:H$58,WEEKDAY(CONCATENATE(A19,".",I$11," ",J$11),2),1,1))</f>
        <v>0</v>
      </c>
      <c r="I19" s="195" t="str">
        <f t="shared" ref="I19:I48" si="3">IF(OR(AND(F19&gt;H19,OR(B19&lt;&gt;"Samstag",H$56&gt;0),OR(B19&lt;&gt;"Sonntag",H$57&gt;0),AND(ISNONTEXT(C19),C19&lt;&gt;""))),F19-H19,"")</f>
        <v/>
      </c>
      <c r="J19" s="5" t="str">
        <f t="shared" ref="J19:J48" si="4">IF(NOT(ISERR(SEARCH("ausgleich",C19,1))),H19, IF(AND(F19&lt;H19,B19&lt;&gt;"Samstag",B19&lt;&gt;"Sonntag",ISNONTEXT(C19)),H19-F19,""))</f>
        <v/>
      </c>
      <c r="K19" s="6" t="str">
        <f>IF(AND(B19="Sonntag",SUM(I19:I19)&lt;SUM(J19:J19)),"-","")</f>
        <v/>
      </c>
      <c r="L19" s="7">
        <f>IF(B19="Sonntag",ABS(SUM(I19:I19)-SUM(J19:J19)),"")</f>
        <v>0</v>
      </c>
    </row>
    <row r="20" spans="1:12" ht="17.399999999999999" customHeight="1" x14ac:dyDescent="0.25">
      <c r="A20" s="55">
        <v>2</v>
      </c>
      <c r="B20" s="56" t="str">
        <f t="shared" si="0"/>
        <v>Montag</v>
      </c>
      <c r="C20" s="4">
        <v>0.35416666666666669</v>
      </c>
      <c r="D20" s="4">
        <v>0.70833333333333337</v>
      </c>
      <c r="E20" s="4">
        <v>2.0833333333333332E-2</v>
      </c>
      <c r="F20" s="346">
        <f t="shared" si="1"/>
        <v>0.33333333333333337</v>
      </c>
      <c r="G20" s="347"/>
      <c r="H20" s="212">
        <f t="shared" si="2"/>
        <v>0.33333333333333331</v>
      </c>
      <c r="I20" s="195" t="str">
        <f t="shared" si="3"/>
        <v/>
      </c>
      <c r="J20" s="5" t="str">
        <f t="shared" si="4"/>
        <v/>
      </c>
      <c r="K20" s="8" t="str">
        <f>IF(AND(B20="Sonntag",SUM(I19:I20)&lt;SUM(J19:J20)),"-","")</f>
        <v/>
      </c>
      <c r="L20" s="9" t="str">
        <f>IF(B20="Sonntag",ABS(SUM(I19:I20)-SUM(J19:J20)),"")</f>
        <v/>
      </c>
    </row>
    <row r="21" spans="1:12" ht="17.399999999999999" customHeight="1" x14ac:dyDescent="0.25">
      <c r="A21" s="55">
        <v>3</v>
      </c>
      <c r="B21" s="56" t="str">
        <f t="shared" si="0"/>
        <v>Dienstag</v>
      </c>
      <c r="C21" s="4">
        <v>0.35416666666666669</v>
      </c>
      <c r="D21" s="4">
        <v>0.70833333333333337</v>
      </c>
      <c r="E21" s="4">
        <v>2.0833333333333332E-2</v>
      </c>
      <c r="F21" s="346">
        <f t="shared" si="1"/>
        <v>0.33333333333333337</v>
      </c>
      <c r="G21" s="347"/>
      <c r="H21" s="212">
        <f t="shared" si="2"/>
        <v>0.33333333333333331</v>
      </c>
      <c r="I21" s="195" t="str">
        <f t="shared" si="3"/>
        <v/>
      </c>
      <c r="J21" s="5" t="str">
        <f t="shared" si="4"/>
        <v/>
      </c>
      <c r="K21" s="8" t="str">
        <f>IF(AND(B21="Sonntag",SUM(I19:I21)&lt;SUM(J19:J21)),"-","")</f>
        <v/>
      </c>
      <c r="L21" s="9" t="str">
        <f>IF(B21="Sonntag",ABS(SUM(I19:I21)-SUM(J19:J21)),"")</f>
        <v/>
      </c>
    </row>
    <row r="22" spans="1:12" ht="17.399999999999999" customHeight="1" x14ac:dyDescent="0.25">
      <c r="A22" s="55">
        <v>4</v>
      </c>
      <c r="B22" s="56" t="str">
        <f t="shared" si="0"/>
        <v>Mittwoch</v>
      </c>
      <c r="C22" s="4">
        <v>0.35416666666666669</v>
      </c>
      <c r="D22" s="4">
        <v>0.70833333333333337</v>
      </c>
      <c r="E22" s="4">
        <v>2.0833333333333332E-2</v>
      </c>
      <c r="F22" s="346">
        <f t="shared" si="1"/>
        <v>0.33333333333333337</v>
      </c>
      <c r="G22" s="347"/>
      <c r="H22" s="212">
        <f t="shared" si="2"/>
        <v>0.33333333333333331</v>
      </c>
      <c r="I22" s="195" t="str">
        <f t="shared" si="3"/>
        <v/>
      </c>
      <c r="J22" s="5" t="str">
        <f t="shared" si="4"/>
        <v/>
      </c>
      <c r="K22" s="8" t="str">
        <f>IF(AND(B22="Sonntag",SUM(I19:I22)&lt;SUM(J19:J22)),"-","")</f>
        <v/>
      </c>
      <c r="L22" s="9" t="str">
        <f>IF(B22="Sonntag",ABS(SUM(I19:I22)-SUM(J19:J22)),"")</f>
        <v/>
      </c>
    </row>
    <row r="23" spans="1:12" ht="17.399999999999999" customHeight="1" x14ac:dyDescent="0.25">
      <c r="A23" s="55">
        <v>5</v>
      </c>
      <c r="B23" s="56" t="str">
        <f t="shared" si="0"/>
        <v>Donnerstag</v>
      </c>
      <c r="C23" s="4">
        <v>0.35416666666666669</v>
      </c>
      <c r="D23" s="4">
        <v>0.70833333333333337</v>
      </c>
      <c r="E23" s="4">
        <v>2.0833333333333332E-2</v>
      </c>
      <c r="F23" s="346">
        <f t="shared" si="1"/>
        <v>0.33333333333333337</v>
      </c>
      <c r="G23" s="347"/>
      <c r="H23" s="212">
        <f t="shared" si="2"/>
        <v>0.33333333333333331</v>
      </c>
      <c r="I23" s="195" t="str">
        <f t="shared" si="3"/>
        <v/>
      </c>
      <c r="J23" s="5" t="str">
        <f t="shared" si="4"/>
        <v/>
      </c>
      <c r="K23" s="8" t="str">
        <f>IF(AND(B23="Sonntag",SUM(I19:I23)&lt;SUM(J19:J23)),"-","")</f>
        <v/>
      </c>
      <c r="L23" s="9" t="str">
        <f>IF(B23="Sonntag",ABS(SUM(I19:I23)-SUM(J19:J23)),"")</f>
        <v/>
      </c>
    </row>
    <row r="24" spans="1:12" ht="17.399999999999999" customHeight="1" x14ac:dyDescent="0.25">
      <c r="A24" s="55">
        <v>6</v>
      </c>
      <c r="B24" s="56" t="str">
        <f t="shared" si="0"/>
        <v>Freitag</v>
      </c>
      <c r="C24" s="4">
        <v>0.35416666666666669</v>
      </c>
      <c r="D24" s="4">
        <v>0.70833333333333337</v>
      </c>
      <c r="E24" s="4">
        <v>2.0833333333333332E-2</v>
      </c>
      <c r="F24" s="346">
        <f t="shared" si="1"/>
        <v>0.33333333333333337</v>
      </c>
      <c r="G24" s="347"/>
      <c r="H24" s="212">
        <f t="shared" si="2"/>
        <v>0.3125</v>
      </c>
      <c r="I24" s="195">
        <f t="shared" si="3"/>
        <v>2.083333333333337E-2</v>
      </c>
      <c r="J24" s="5" t="str">
        <f t="shared" si="4"/>
        <v/>
      </c>
      <c r="K24" s="8" t="str">
        <f>IF(AND(B24="Sonntag",SUM(I19:I24)&lt;SUM(J19:J24)),"-","")</f>
        <v/>
      </c>
      <c r="L24" s="9" t="str">
        <f>IF(B24="Sonntag",ABS(SUM(I19:I24)-SUM(J19:J24)),"")</f>
        <v/>
      </c>
    </row>
    <row r="25" spans="1:12" ht="17.399999999999999" customHeight="1" x14ac:dyDescent="0.25">
      <c r="A25" s="55">
        <v>7</v>
      </c>
      <c r="B25" s="56" t="str">
        <f t="shared" si="0"/>
        <v>Samstag</v>
      </c>
      <c r="C25" s="4">
        <v>0.35416666666666669</v>
      </c>
      <c r="D25" s="4">
        <v>0.70833333333333337</v>
      </c>
      <c r="E25" s="4">
        <v>2.0833333333333332E-2</v>
      </c>
      <c r="F25" s="346">
        <f t="shared" si="1"/>
        <v>0.33333333333333337</v>
      </c>
      <c r="G25" s="347"/>
      <c r="H25" s="212">
        <f t="shared" si="2"/>
        <v>0</v>
      </c>
      <c r="I25" s="195" t="str">
        <f t="shared" si="3"/>
        <v/>
      </c>
      <c r="J25" s="5" t="str">
        <f t="shared" si="4"/>
        <v/>
      </c>
      <c r="K25" s="8" t="str">
        <f>IF(AND(B25="Sonntag",SUM(I19:I25)&lt;SUM(J19:J25)),"-","")</f>
        <v/>
      </c>
      <c r="L25" s="9" t="str">
        <f>IF(B25="Sonntag",ABS(SUM(I19:I25)-SUM(J19:J25)),"")</f>
        <v/>
      </c>
    </row>
    <row r="26" spans="1:12" ht="17.399999999999999" customHeight="1" x14ac:dyDescent="0.25">
      <c r="A26" s="55">
        <v>8</v>
      </c>
      <c r="B26" s="56" t="str">
        <f t="shared" si="0"/>
        <v>Sonntag</v>
      </c>
      <c r="C26" s="4">
        <v>0.35416666666666669</v>
      </c>
      <c r="D26" s="4">
        <v>0.70833333333333337</v>
      </c>
      <c r="E26" s="4">
        <v>2.0833333333333332E-2</v>
      </c>
      <c r="F26" s="346">
        <f t="shared" si="1"/>
        <v>0.33333333333333337</v>
      </c>
      <c r="G26" s="347"/>
      <c r="H26" s="212">
        <f t="shared" si="2"/>
        <v>0</v>
      </c>
      <c r="I26" s="195" t="str">
        <f t="shared" si="3"/>
        <v/>
      </c>
      <c r="J26" s="5" t="str">
        <f t="shared" si="4"/>
        <v/>
      </c>
      <c r="K26" s="8" t="str">
        <f>IF(AND(B26="Sonntag",SUM(I20:I26)&lt;SUM(J20:J26)),"-","")</f>
        <v/>
      </c>
      <c r="L26" s="9">
        <f>IF(B26="Sonntag",ABS(SUM(I20:I26)-SUM(J20:J26)),"")</f>
        <v>2.083333333333337E-2</v>
      </c>
    </row>
    <row r="27" spans="1:12" ht="17.399999999999999" customHeight="1" x14ac:dyDescent="0.25">
      <c r="A27" s="55">
        <v>9</v>
      </c>
      <c r="B27" s="56" t="str">
        <f t="shared" si="0"/>
        <v>Montag</v>
      </c>
      <c r="C27" s="4">
        <v>0.35416666666666669</v>
      </c>
      <c r="D27" s="4">
        <v>0.70833333333333337</v>
      </c>
      <c r="E27" s="4">
        <v>2.0833333333333332E-2</v>
      </c>
      <c r="F27" s="346">
        <f t="shared" si="1"/>
        <v>0.33333333333333337</v>
      </c>
      <c r="G27" s="347"/>
      <c r="H27" s="212">
        <f t="shared" si="2"/>
        <v>0.33333333333333331</v>
      </c>
      <c r="I27" s="195" t="str">
        <f t="shared" si="3"/>
        <v/>
      </c>
      <c r="J27" s="5" t="str">
        <f t="shared" si="4"/>
        <v/>
      </c>
      <c r="K27" s="8" t="str">
        <f>IF(AND(B27="Sonntag",SUM(I21:I27)&lt;SUM(J21:J27)),"-","")</f>
        <v/>
      </c>
      <c r="L27" s="9" t="str">
        <f>IF(B27="Sonntag",ABS(SUM(I21:I27)-SUM(J21:J27)),"")</f>
        <v/>
      </c>
    </row>
    <row r="28" spans="1:12" ht="17.399999999999999" customHeight="1" x14ac:dyDescent="0.25">
      <c r="A28" s="55">
        <v>10</v>
      </c>
      <c r="B28" s="56" t="str">
        <f t="shared" si="0"/>
        <v>Dienstag</v>
      </c>
      <c r="C28" s="4">
        <v>0.35416666666666669</v>
      </c>
      <c r="D28" s="4">
        <v>0.70833333333333337</v>
      </c>
      <c r="E28" s="4">
        <v>2.0833333333333332E-2</v>
      </c>
      <c r="F28" s="346">
        <f t="shared" si="1"/>
        <v>0.33333333333333337</v>
      </c>
      <c r="G28" s="347"/>
      <c r="H28" s="212">
        <f t="shared" si="2"/>
        <v>0.33333333333333331</v>
      </c>
      <c r="I28" s="195" t="str">
        <f t="shared" si="3"/>
        <v/>
      </c>
      <c r="J28" s="5" t="str">
        <f t="shared" si="4"/>
        <v/>
      </c>
      <c r="K28" s="8" t="str">
        <f t="shared" ref="K28:K47" si="5">IF(AND(B28="Sonntag",SUM(I22:I28)&lt;SUM(J22:J28)),"-","")</f>
        <v/>
      </c>
      <c r="L28" s="9" t="str">
        <f t="shared" ref="L28:L47" si="6">IF(B28="Sonntag",ABS(SUM(I22:I28)-SUM(J22:J28)),"")</f>
        <v/>
      </c>
    </row>
    <row r="29" spans="1:12" ht="17.399999999999999" customHeight="1" x14ac:dyDescent="0.25">
      <c r="A29" s="55">
        <v>11</v>
      </c>
      <c r="B29" s="56" t="str">
        <f t="shared" si="0"/>
        <v>Mittwoch</v>
      </c>
      <c r="C29" s="4">
        <v>0.35416666666666669</v>
      </c>
      <c r="D29" s="4">
        <v>0.70833333333333337</v>
      </c>
      <c r="E29" s="4">
        <v>2.0833333333333332E-2</v>
      </c>
      <c r="F29" s="346">
        <f t="shared" si="1"/>
        <v>0.33333333333333337</v>
      </c>
      <c r="G29" s="347"/>
      <c r="H29" s="212">
        <f t="shared" si="2"/>
        <v>0.33333333333333331</v>
      </c>
      <c r="I29" s="195" t="str">
        <f t="shared" si="3"/>
        <v/>
      </c>
      <c r="J29" s="5" t="str">
        <f t="shared" si="4"/>
        <v/>
      </c>
      <c r="K29" s="8" t="str">
        <f t="shared" si="5"/>
        <v/>
      </c>
      <c r="L29" s="9" t="str">
        <f t="shared" si="6"/>
        <v/>
      </c>
    </row>
    <row r="30" spans="1:12" ht="17.399999999999999" customHeight="1" x14ac:dyDescent="0.25">
      <c r="A30" s="55">
        <v>12</v>
      </c>
      <c r="B30" s="56" t="str">
        <f t="shared" si="0"/>
        <v>Donnerstag</v>
      </c>
      <c r="C30" s="4">
        <v>0.35416666666666669</v>
      </c>
      <c r="D30" s="4">
        <v>0.70833333333333337</v>
      </c>
      <c r="E30" s="4">
        <v>2.0833333333333332E-2</v>
      </c>
      <c r="F30" s="346">
        <f t="shared" si="1"/>
        <v>0.33333333333333337</v>
      </c>
      <c r="G30" s="347"/>
      <c r="H30" s="212">
        <f t="shared" si="2"/>
        <v>0.33333333333333331</v>
      </c>
      <c r="I30" s="195" t="str">
        <f t="shared" si="3"/>
        <v/>
      </c>
      <c r="J30" s="5" t="str">
        <f t="shared" si="4"/>
        <v/>
      </c>
      <c r="K30" s="8" t="str">
        <f t="shared" si="5"/>
        <v/>
      </c>
      <c r="L30" s="9" t="str">
        <f t="shared" si="6"/>
        <v/>
      </c>
    </row>
    <row r="31" spans="1:12" ht="17.399999999999999" customHeight="1" x14ac:dyDescent="0.25">
      <c r="A31" s="55">
        <v>13</v>
      </c>
      <c r="B31" s="56" t="str">
        <f t="shared" si="0"/>
        <v>Freitag</v>
      </c>
      <c r="C31" s="4">
        <v>0.35416666666666669</v>
      </c>
      <c r="D31" s="4">
        <v>0.70833333333333337</v>
      </c>
      <c r="E31" s="4">
        <v>2.0833333333333332E-2</v>
      </c>
      <c r="F31" s="346">
        <f t="shared" si="1"/>
        <v>0.33333333333333337</v>
      </c>
      <c r="G31" s="347"/>
      <c r="H31" s="212">
        <f t="shared" si="2"/>
        <v>0.3125</v>
      </c>
      <c r="I31" s="195">
        <f t="shared" si="3"/>
        <v>2.083333333333337E-2</v>
      </c>
      <c r="J31" s="5" t="str">
        <f t="shared" si="4"/>
        <v/>
      </c>
      <c r="K31" s="8" t="str">
        <f t="shared" si="5"/>
        <v/>
      </c>
      <c r="L31" s="9" t="str">
        <f t="shared" si="6"/>
        <v/>
      </c>
    </row>
    <row r="32" spans="1:12" ht="17.399999999999999" customHeight="1" x14ac:dyDescent="0.25">
      <c r="A32" s="55">
        <v>14</v>
      </c>
      <c r="B32" s="56" t="str">
        <f t="shared" si="0"/>
        <v>Samstag</v>
      </c>
      <c r="C32" s="4">
        <v>0.35416666666666669</v>
      </c>
      <c r="D32" s="4">
        <v>0.70833333333333337</v>
      </c>
      <c r="E32" s="4">
        <v>2.0833333333333332E-2</v>
      </c>
      <c r="F32" s="346">
        <f t="shared" si="1"/>
        <v>0.33333333333333337</v>
      </c>
      <c r="G32" s="347"/>
      <c r="H32" s="212">
        <f t="shared" si="2"/>
        <v>0</v>
      </c>
      <c r="I32" s="195" t="str">
        <f t="shared" si="3"/>
        <v/>
      </c>
      <c r="J32" s="5" t="str">
        <f t="shared" si="4"/>
        <v/>
      </c>
      <c r="K32" s="8" t="str">
        <f t="shared" si="5"/>
        <v/>
      </c>
      <c r="L32" s="9" t="str">
        <f t="shared" si="6"/>
        <v/>
      </c>
    </row>
    <row r="33" spans="1:15" ht="17.399999999999999" customHeight="1" x14ac:dyDescent="0.25">
      <c r="A33" s="55">
        <v>15</v>
      </c>
      <c r="B33" s="56" t="str">
        <f t="shared" si="0"/>
        <v>Sonntag</v>
      </c>
      <c r="C33" s="4">
        <v>0.35416666666666669</v>
      </c>
      <c r="D33" s="4">
        <v>0.70833333333333337</v>
      </c>
      <c r="E33" s="4">
        <v>2.0833333333333332E-2</v>
      </c>
      <c r="F33" s="346">
        <f t="shared" si="1"/>
        <v>0.33333333333333337</v>
      </c>
      <c r="G33" s="347"/>
      <c r="H33" s="212">
        <f t="shared" si="2"/>
        <v>0</v>
      </c>
      <c r="I33" s="195" t="str">
        <f t="shared" si="3"/>
        <v/>
      </c>
      <c r="J33" s="5" t="str">
        <f t="shared" si="4"/>
        <v/>
      </c>
      <c r="K33" s="8" t="str">
        <f t="shared" si="5"/>
        <v/>
      </c>
      <c r="L33" s="9">
        <f t="shared" si="6"/>
        <v>2.083333333333337E-2</v>
      </c>
    </row>
    <row r="34" spans="1:15" ht="17.399999999999999" customHeight="1" x14ac:dyDescent="0.25">
      <c r="A34" s="55">
        <v>16</v>
      </c>
      <c r="B34" s="56" t="str">
        <f t="shared" si="0"/>
        <v>Montag</v>
      </c>
      <c r="C34" s="4">
        <v>0.35416666666666669</v>
      </c>
      <c r="D34" s="4">
        <v>0.70833333333333337</v>
      </c>
      <c r="E34" s="4">
        <v>2.0833333333333332E-2</v>
      </c>
      <c r="F34" s="346">
        <f t="shared" si="1"/>
        <v>0.33333333333333337</v>
      </c>
      <c r="G34" s="347"/>
      <c r="H34" s="212">
        <f t="shared" si="2"/>
        <v>0.33333333333333331</v>
      </c>
      <c r="I34" s="195" t="str">
        <f t="shared" si="3"/>
        <v/>
      </c>
      <c r="J34" s="5" t="str">
        <f t="shared" si="4"/>
        <v/>
      </c>
      <c r="K34" s="8" t="str">
        <f t="shared" si="5"/>
        <v/>
      </c>
      <c r="L34" s="9" t="str">
        <f t="shared" si="6"/>
        <v/>
      </c>
    </row>
    <row r="35" spans="1:15" ht="17.399999999999999" customHeight="1" x14ac:dyDescent="0.25">
      <c r="A35" s="55">
        <v>17</v>
      </c>
      <c r="B35" s="56" t="str">
        <f t="shared" si="0"/>
        <v>Dienstag</v>
      </c>
      <c r="C35" s="4">
        <v>0.35416666666666669</v>
      </c>
      <c r="D35" s="4">
        <v>0.70833333333333337</v>
      </c>
      <c r="E35" s="4">
        <v>2.0833333333333332E-2</v>
      </c>
      <c r="F35" s="346">
        <f t="shared" si="1"/>
        <v>0.33333333333333337</v>
      </c>
      <c r="G35" s="347"/>
      <c r="H35" s="212">
        <f t="shared" si="2"/>
        <v>0.33333333333333331</v>
      </c>
      <c r="I35" s="195" t="str">
        <f t="shared" si="3"/>
        <v/>
      </c>
      <c r="J35" s="5" t="str">
        <f t="shared" si="4"/>
        <v/>
      </c>
      <c r="K35" s="8" t="str">
        <f t="shared" si="5"/>
        <v/>
      </c>
      <c r="L35" s="9" t="str">
        <f t="shared" si="6"/>
        <v/>
      </c>
    </row>
    <row r="36" spans="1:15" ht="17.399999999999999" customHeight="1" x14ac:dyDescent="0.25">
      <c r="A36" s="55">
        <v>18</v>
      </c>
      <c r="B36" s="56" t="str">
        <f t="shared" si="0"/>
        <v>Mittwoch</v>
      </c>
      <c r="C36" s="4">
        <v>0.35416666666666669</v>
      </c>
      <c r="D36" s="4">
        <v>0.70833333333333337</v>
      </c>
      <c r="E36" s="4">
        <v>2.0833333333333332E-2</v>
      </c>
      <c r="F36" s="346">
        <f t="shared" si="1"/>
        <v>0.33333333333333337</v>
      </c>
      <c r="G36" s="347"/>
      <c r="H36" s="212">
        <f t="shared" si="2"/>
        <v>0.33333333333333331</v>
      </c>
      <c r="I36" s="195" t="str">
        <f t="shared" si="3"/>
        <v/>
      </c>
      <c r="J36" s="5" t="str">
        <f t="shared" si="4"/>
        <v/>
      </c>
      <c r="K36" s="8" t="str">
        <f t="shared" si="5"/>
        <v/>
      </c>
      <c r="L36" s="9" t="str">
        <f t="shared" si="6"/>
        <v/>
      </c>
    </row>
    <row r="37" spans="1:15" ht="17.399999999999999" customHeight="1" x14ac:dyDescent="0.25">
      <c r="A37" s="55">
        <v>19</v>
      </c>
      <c r="B37" s="56" t="str">
        <f t="shared" si="0"/>
        <v>Donnerstag</v>
      </c>
      <c r="C37" s="4">
        <v>0.35416666666666669</v>
      </c>
      <c r="D37" s="4">
        <v>0.70833333333333337</v>
      </c>
      <c r="E37" s="4">
        <v>2.0833333333333332E-2</v>
      </c>
      <c r="F37" s="346">
        <f t="shared" si="1"/>
        <v>0.33333333333333337</v>
      </c>
      <c r="G37" s="347"/>
      <c r="H37" s="212">
        <f t="shared" si="2"/>
        <v>0.33333333333333331</v>
      </c>
      <c r="I37" s="195" t="str">
        <f t="shared" si="3"/>
        <v/>
      </c>
      <c r="J37" s="5" t="str">
        <f t="shared" si="4"/>
        <v/>
      </c>
      <c r="K37" s="8" t="str">
        <f t="shared" si="5"/>
        <v/>
      </c>
      <c r="L37" s="9" t="str">
        <f t="shared" si="6"/>
        <v/>
      </c>
    </row>
    <row r="38" spans="1:15" ht="17.399999999999999" customHeight="1" x14ac:dyDescent="0.25">
      <c r="A38" s="55">
        <v>20</v>
      </c>
      <c r="B38" s="56" t="str">
        <f t="shared" si="0"/>
        <v>Freitag</v>
      </c>
      <c r="C38" s="4">
        <v>0.35416666666666669</v>
      </c>
      <c r="D38" s="4">
        <v>0.70833333333333337</v>
      </c>
      <c r="E38" s="4">
        <v>2.0833333333333332E-2</v>
      </c>
      <c r="F38" s="346">
        <f t="shared" si="1"/>
        <v>0.33333333333333337</v>
      </c>
      <c r="G38" s="347"/>
      <c r="H38" s="212">
        <f t="shared" si="2"/>
        <v>0.3125</v>
      </c>
      <c r="I38" s="195">
        <f t="shared" si="3"/>
        <v>2.083333333333337E-2</v>
      </c>
      <c r="J38" s="5" t="str">
        <f t="shared" si="4"/>
        <v/>
      </c>
      <c r="K38" s="8" t="str">
        <f t="shared" si="5"/>
        <v/>
      </c>
      <c r="L38" s="9" t="str">
        <f t="shared" si="6"/>
        <v/>
      </c>
    </row>
    <row r="39" spans="1:15" ht="17.399999999999999" customHeight="1" x14ac:dyDescent="0.25">
      <c r="A39" s="55">
        <v>21</v>
      </c>
      <c r="B39" s="56" t="str">
        <f t="shared" si="0"/>
        <v>Samstag</v>
      </c>
      <c r="C39" s="4">
        <v>0.35416666666666669</v>
      </c>
      <c r="D39" s="4">
        <v>0.70833333333333337</v>
      </c>
      <c r="E39" s="4">
        <v>2.0833333333333332E-2</v>
      </c>
      <c r="F39" s="346">
        <f t="shared" si="1"/>
        <v>0.33333333333333337</v>
      </c>
      <c r="G39" s="347"/>
      <c r="H39" s="212">
        <f t="shared" si="2"/>
        <v>0</v>
      </c>
      <c r="I39" s="195" t="str">
        <f t="shared" si="3"/>
        <v/>
      </c>
      <c r="J39" s="5" t="str">
        <f t="shared" si="4"/>
        <v/>
      </c>
      <c r="K39" s="8" t="str">
        <f t="shared" si="5"/>
        <v/>
      </c>
      <c r="L39" s="9" t="str">
        <f t="shared" si="6"/>
        <v/>
      </c>
    </row>
    <row r="40" spans="1:15" ht="17.399999999999999" customHeight="1" x14ac:dyDescent="0.25">
      <c r="A40" s="55">
        <v>22</v>
      </c>
      <c r="B40" s="56" t="str">
        <f t="shared" si="0"/>
        <v>Sonntag</v>
      </c>
      <c r="C40" s="4">
        <v>0.35416666666666669</v>
      </c>
      <c r="D40" s="4">
        <v>0.70833333333333337</v>
      </c>
      <c r="E40" s="4">
        <v>2.0833333333333332E-2</v>
      </c>
      <c r="F40" s="346">
        <f t="shared" si="1"/>
        <v>0.33333333333333337</v>
      </c>
      <c r="G40" s="347"/>
      <c r="H40" s="212">
        <f t="shared" si="2"/>
        <v>0</v>
      </c>
      <c r="I40" s="195" t="str">
        <f t="shared" si="3"/>
        <v/>
      </c>
      <c r="J40" s="5" t="str">
        <f t="shared" si="4"/>
        <v/>
      </c>
      <c r="K40" s="8" t="str">
        <f t="shared" si="5"/>
        <v/>
      </c>
      <c r="L40" s="9">
        <f t="shared" si="6"/>
        <v>2.083333333333337E-2</v>
      </c>
      <c r="N40" s="283" t="s">
        <v>126</v>
      </c>
    </row>
    <row r="41" spans="1:15" ht="17.399999999999999" customHeight="1" x14ac:dyDescent="0.25">
      <c r="A41" s="55">
        <v>23</v>
      </c>
      <c r="B41" s="56" t="str">
        <f t="shared" si="0"/>
        <v>Montag</v>
      </c>
      <c r="C41" s="4">
        <v>0.35416666666666669</v>
      </c>
      <c r="D41" s="4">
        <v>0.70833333333333337</v>
      </c>
      <c r="E41" s="4">
        <v>2.0833333333333332E-2</v>
      </c>
      <c r="F41" s="346">
        <f t="shared" si="1"/>
        <v>0.33333333333333337</v>
      </c>
      <c r="G41" s="347"/>
      <c r="H41" s="212">
        <f t="shared" si="2"/>
        <v>0.33333333333333331</v>
      </c>
      <c r="I41" s="195" t="str">
        <f t="shared" si="3"/>
        <v/>
      </c>
      <c r="J41" s="5" t="str">
        <f t="shared" si="4"/>
        <v/>
      </c>
      <c r="K41" s="8" t="str">
        <f t="shared" si="5"/>
        <v/>
      </c>
      <c r="L41" s="9" t="str">
        <f t="shared" si="6"/>
        <v/>
      </c>
      <c r="N41" s="283" t="s">
        <v>104</v>
      </c>
    </row>
    <row r="42" spans="1:15" ht="17.399999999999999" customHeight="1" x14ac:dyDescent="0.25">
      <c r="A42" s="211">
        <v>24</v>
      </c>
      <c r="B42" s="203" t="str">
        <f t="shared" si="0"/>
        <v>Dienstag</v>
      </c>
      <c r="C42" s="201" t="s">
        <v>34</v>
      </c>
      <c r="D42" s="189"/>
      <c r="E42" s="189"/>
      <c r="F42" s="353" t="str">
        <f t="shared" si="1"/>
        <v/>
      </c>
      <c r="G42" s="354"/>
      <c r="H42" s="213" t="str">
        <f t="shared" si="2"/>
        <v/>
      </c>
      <c r="I42" s="198">
        <v>0</v>
      </c>
      <c r="J42" s="190">
        <v>0</v>
      </c>
      <c r="K42" s="191" t="str">
        <f>IF(AND(B42="Sonntag",SUM(I36:I42)&lt;SUM(J36:J42)),"-","")</f>
        <v/>
      </c>
      <c r="L42" s="192" t="str">
        <f>IF(B42="Sonntag",ABS(SUM(I36:I42)-SUM(J36:J42)),"")</f>
        <v/>
      </c>
      <c r="N42" s="293" t="s">
        <v>102</v>
      </c>
    </row>
    <row r="43" spans="1:15" ht="17.399999999999999" customHeight="1" x14ac:dyDescent="0.25">
      <c r="A43" s="211">
        <v>25</v>
      </c>
      <c r="B43" s="203" t="str">
        <f t="shared" si="0"/>
        <v>Mittwoch</v>
      </c>
      <c r="C43" s="201" t="s">
        <v>35</v>
      </c>
      <c r="D43" s="193"/>
      <c r="E43" s="189"/>
      <c r="F43" s="353" t="str">
        <f t="shared" si="1"/>
        <v/>
      </c>
      <c r="G43" s="354"/>
      <c r="H43" s="213" t="str">
        <f t="shared" si="2"/>
        <v/>
      </c>
      <c r="I43" s="198">
        <v>0</v>
      </c>
      <c r="J43" s="190">
        <v>0</v>
      </c>
      <c r="K43" s="191" t="str">
        <f>IF(AND(B43="Sonntag",SUM(I37:I43)&lt;SUM(J37:J43)),"-","")</f>
        <v/>
      </c>
      <c r="L43" s="192" t="str">
        <f>IF(B43="Sonntag",ABS(SUM(I37:I43)-SUM(J37:J43)),"")</f>
        <v/>
      </c>
    </row>
    <row r="44" spans="1:15" ht="17.399999999999999" customHeight="1" x14ac:dyDescent="0.25">
      <c r="A44" s="211">
        <v>26</v>
      </c>
      <c r="B44" s="203" t="str">
        <f t="shared" si="0"/>
        <v>Donnerstag</v>
      </c>
      <c r="C44" s="202" t="s">
        <v>35</v>
      </c>
      <c r="D44" s="189"/>
      <c r="E44" s="189"/>
      <c r="F44" s="353" t="str">
        <f t="shared" si="1"/>
        <v/>
      </c>
      <c r="G44" s="354"/>
      <c r="H44" s="213" t="str">
        <f t="shared" si="2"/>
        <v/>
      </c>
      <c r="I44" s="198">
        <v>0</v>
      </c>
      <c r="J44" s="190">
        <v>0</v>
      </c>
      <c r="K44" s="191" t="str">
        <f>IF(AND(B44="Sonntag",SUM(I38:I44)&lt;SUM(J38:J44)),"-","")</f>
        <v/>
      </c>
      <c r="L44" s="192" t="str">
        <f>IF(B44="Sonntag",ABS(SUM(I38:I44)-SUM(J38:J44)),"")</f>
        <v/>
      </c>
    </row>
    <row r="45" spans="1:15" ht="17.399999999999999" customHeight="1" x14ac:dyDescent="0.25">
      <c r="A45" s="55">
        <v>27</v>
      </c>
      <c r="B45" s="56" t="str">
        <f t="shared" si="0"/>
        <v>Freitag</v>
      </c>
      <c r="C45" s="4">
        <v>0.35416666666666669</v>
      </c>
      <c r="D45" s="4">
        <v>0.70833333333333337</v>
      </c>
      <c r="E45" s="4">
        <v>2.0833333333333332E-2</v>
      </c>
      <c r="F45" s="346">
        <f t="shared" si="1"/>
        <v>0.33333333333333337</v>
      </c>
      <c r="G45" s="347"/>
      <c r="H45" s="212">
        <f t="shared" si="2"/>
        <v>0.3125</v>
      </c>
      <c r="I45" s="195">
        <f t="shared" si="3"/>
        <v>2.083333333333337E-2</v>
      </c>
      <c r="J45" s="5" t="str">
        <f t="shared" si="4"/>
        <v/>
      </c>
      <c r="K45" s="8" t="str">
        <f t="shared" si="5"/>
        <v/>
      </c>
      <c r="L45" s="9" t="str">
        <f t="shared" si="6"/>
        <v/>
      </c>
    </row>
    <row r="46" spans="1:15" ht="17.399999999999999" customHeight="1" x14ac:dyDescent="0.25">
      <c r="A46" s="55">
        <v>28</v>
      </c>
      <c r="B46" s="56" t="str">
        <f t="shared" si="0"/>
        <v>Samstag</v>
      </c>
      <c r="C46" s="4">
        <v>0.35416666666666669</v>
      </c>
      <c r="D46" s="4">
        <v>0.70833333333333337</v>
      </c>
      <c r="E46" s="4">
        <v>2.0833333333333332E-2</v>
      </c>
      <c r="F46" s="346">
        <f t="shared" si="1"/>
        <v>0.33333333333333337</v>
      </c>
      <c r="G46" s="347"/>
      <c r="H46" s="212">
        <f t="shared" si="2"/>
        <v>0</v>
      </c>
      <c r="I46" s="195" t="str">
        <f t="shared" si="3"/>
        <v/>
      </c>
      <c r="J46" s="5" t="str">
        <f t="shared" si="4"/>
        <v/>
      </c>
      <c r="K46" s="8" t="str">
        <f t="shared" si="5"/>
        <v/>
      </c>
      <c r="L46" s="9" t="str">
        <f t="shared" si="6"/>
        <v/>
      </c>
    </row>
    <row r="47" spans="1:15" ht="17.399999999999999" customHeight="1" x14ac:dyDescent="0.25">
      <c r="A47" s="55">
        <v>29</v>
      </c>
      <c r="B47" s="56" t="str">
        <f t="shared" si="0"/>
        <v>Sonntag</v>
      </c>
      <c r="C47" s="4">
        <v>0.35416666666666669</v>
      </c>
      <c r="D47" s="4">
        <v>0.70833333333333337</v>
      </c>
      <c r="E47" s="4">
        <v>2.0833333333333332E-2</v>
      </c>
      <c r="F47" s="346">
        <f t="shared" si="1"/>
        <v>0.33333333333333337</v>
      </c>
      <c r="G47" s="347"/>
      <c r="H47" s="212">
        <f t="shared" si="2"/>
        <v>0</v>
      </c>
      <c r="I47" s="195" t="str">
        <f t="shared" si="3"/>
        <v/>
      </c>
      <c r="J47" s="5" t="str">
        <f t="shared" si="4"/>
        <v/>
      </c>
      <c r="K47" s="8" t="str">
        <f t="shared" si="5"/>
        <v/>
      </c>
      <c r="L47" s="9">
        <f t="shared" si="6"/>
        <v>2.083333333333337E-2</v>
      </c>
    </row>
    <row r="48" spans="1:15" ht="17.399999999999999" customHeight="1" x14ac:dyDescent="0.3">
      <c r="A48" s="55">
        <v>30</v>
      </c>
      <c r="B48" s="56" t="str">
        <f t="shared" si="0"/>
        <v>Montag</v>
      </c>
      <c r="C48" s="4">
        <v>0.35416666666666669</v>
      </c>
      <c r="D48" s="4">
        <v>0.70833333333333337</v>
      </c>
      <c r="E48" s="4">
        <v>2.0833333333333332E-2</v>
      </c>
      <c r="F48" s="346">
        <f t="shared" ref="F48" si="7">IF(OR(ISTEXT(C48),ISBLANK(C48)),"",D48-C48-E48)</f>
        <v>0.33333333333333337</v>
      </c>
      <c r="G48" s="347"/>
      <c r="H48" s="212">
        <f t="shared" ref="H48" si="8">IF(AND(OR(ISTEXT(C48),ISBLANK(C48)),ISERR(SEARCH("ausgleich",C48,1))),"",INDEX(H$51:H$58,WEEKDAY(CONCATENATE(A48,".",I$11," ",J$11),2),1,1))</f>
        <v>0.33333333333333331</v>
      </c>
      <c r="I48" s="195" t="str">
        <f t="shared" si="3"/>
        <v/>
      </c>
      <c r="J48" s="5" t="str">
        <f t="shared" si="4"/>
        <v/>
      </c>
      <c r="K48" s="10" t="str">
        <f ca="1">IF(SUM(INDIRECT("I"&amp;ROW()-WEEKDAY(CONCATENATE(A48,".",I$11," ",J$11),3)):I49) &lt; SUM(INDIRECT("j"&amp;ROW()-WEEKDAY(CONCATENATE(A48,".",I$11," ",J$11),3)):J49),"-","")</f>
        <v/>
      </c>
      <c r="L48" s="11">
        <f ca="1">ABS(SUM(INDIRECT("I"&amp;ROW()-WEEKDAY(CONCATENATE(A48,".",I$11," ",J$11),3)):I49)-SUM(INDIRECT("j"&amp;ROW()-WEEKDAY(CONCATENATE(A48,".",I$11," ",J$11),3)):J49))</f>
        <v>0</v>
      </c>
      <c r="N48" s="277"/>
      <c r="O48" s="31"/>
    </row>
    <row r="49" spans="1:15" ht="17.399999999999999" customHeight="1" x14ac:dyDescent="0.25">
      <c r="A49" s="181">
        <v>31</v>
      </c>
      <c r="B49" s="203" t="str">
        <f t="shared" si="0"/>
        <v>Dienstag</v>
      </c>
      <c r="C49" s="204" t="s">
        <v>95</v>
      </c>
      <c r="D49" s="182"/>
      <c r="E49" s="182"/>
      <c r="F49" s="183"/>
      <c r="G49" s="183"/>
      <c r="H49" s="183"/>
      <c r="I49" s="209"/>
      <c r="J49" s="210"/>
      <c r="K49" s="184"/>
      <c r="L49" s="185"/>
      <c r="N49" s="292" t="s">
        <v>102</v>
      </c>
      <c r="O49" s="31"/>
    </row>
    <row r="50" spans="1:15" s="68" customFormat="1" ht="17.399999999999999" customHeight="1" x14ac:dyDescent="0.25">
      <c r="A50" s="59" t="str">
        <f>Jan!A50</f>
        <v>Sonstige Zeiten laut beigefügter Aufstellung (s. Anlage):</v>
      </c>
      <c r="B50" s="60"/>
      <c r="C50" s="61"/>
      <c r="D50" s="62"/>
      <c r="E50" s="62"/>
      <c r="F50" s="62"/>
      <c r="G50" s="62"/>
      <c r="H50" s="63"/>
      <c r="I50" s="220">
        <v>0</v>
      </c>
      <c r="J50" s="220">
        <v>0</v>
      </c>
      <c r="K50" s="66"/>
      <c r="L50" s="67"/>
      <c r="M50" s="271"/>
      <c r="N50" s="307"/>
      <c r="O50" s="272"/>
    </row>
    <row r="51" spans="1:15" x14ac:dyDescent="0.25">
      <c r="A51" s="338" t="s">
        <v>3</v>
      </c>
      <c r="B51" s="338"/>
      <c r="C51" s="338"/>
      <c r="D51" s="338"/>
      <c r="H51" s="69">
        <f>Nov!H51</f>
        <v>0.33333333333333331</v>
      </c>
      <c r="I51" s="399">
        <f>SUM(I17:I50)</f>
        <v>1.0416666666666687</v>
      </c>
      <c r="J51" s="399">
        <f>SUM(J17:J50)</f>
        <v>0</v>
      </c>
      <c r="K51" s="397" t="str">
        <f ca="1">IF(SUMIF(K19:K49,"",L19:L49)&lt;SUMIF(K19:K49,"-",L19:L49),"-","")</f>
        <v/>
      </c>
      <c r="L51" s="398">
        <f ca="1">ABS(SUMIF(K19:K49,"",L19:L49)-SUMIF(K19:K49,"-",L19:L49))</f>
        <v>8.3333333333333481E-2</v>
      </c>
      <c r="M51" s="277"/>
      <c r="N51" s="277"/>
      <c r="O51" s="31"/>
    </row>
    <row r="52" spans="1:15" ht="13.5" thickBot="1" x14ac:dyDescent="0.35">
      <c r="A52" s="339"/>
      <c r="B52" s="339"/>
      <c r="C52" s="339"/>
      <c r="D52" s="339"/>
      <c r="G52" s="70" t="s">
        <v>12</v>
      </c>
      <c r="H52" s="69">
        <f>Nov!H52</f>
        <v>0.33333333333333331</v>
      </c>
      <c r="I52" s="352"/>
      <c r="J52" s="352"/>
      <c r="K52" s="334"/>
      <c r="L52" s="336"/>
    </row>
    <row r="53" spans="1:15" x14ac:dyDescent="0.25">
      <c r="A53" s="339"/>
      <c r="B53" s="339"/>
      <c r="C53" s="339"/>
      <c r="D53" s="339"/>
      <c r="G53" s="71"/>
      <c r="H53" s="69">
        <f>Nov!H53</f>
        <v>0.33333333333333331</v>
      </c>
      <c r="I53" s="344">
        <f>IF(I51&gt;J51,I51-J51, 0)</f>
        <v>1.0416666666666687</v>
      </c>
      <c r="J53" s="400" t="str">
        <f>IF(J51&gt;I51,J51-I51,"")</f>
        <v/>
      </c>
      <c r="K53" s="232"/>
      <c r="L53" s="232"/>
    </row>
    <row r="54" spans="1:15" ht="13.5" thickBot="1" x14ac:dyDescent="0.35">
      <c r="A54" s="341" t="s">
        <v>15</v>
      </c>
      <c r="B54" s="341"/>
      <c r="C54" s="341"/>
      <c r="D54" s="341"/>
      <c r="E54" s="72"/>
      <c r="F54" s="72"/>
      <c r="G54" s="70" t="s">
        <v>13</v>
      </c>
      <c r="H54" s="69">
        <f>Nov!H54</f>
        <v>0.33333333333333331</v>
      </c>
      <c r="I54" s="345"/>
      <c r="J54" s="401"/>
      <c r="K54" s="232"/>
      <c r="L54" s="232"/>
    </row>
    <row r="55" spans="1:15" x14ac:dyDescent="0.25">
      <c r="A55" s="338" t="s">
        <v>4</v>
      </c>
      <c r="B55" s="338"/>
      <c r="C55" s="338"/>
      <c r="D55" s="338"/>
      <c r="E55" s="72"/>
      <c r="F55" s="72"/>
      <c r="G55" s="72"/>
      <c r="H55" s="69">
        <f>Nov!H55</f>
        <v>0.3125</v>
      </c>
      <c r="I55" s="72"/>
      <c r="J55" s="72"/>
      <c r="K55" s="170"/>
      <c r="L55" s="170"/>
    </row>
    <row r="56" spans="1:15" ht="13.25" customHeight="1" x14ac:dyDescent="0.25">
      <c r="A56" s="339"/>
      <c r="B56" s="339"/>
      <c r="C56" s="339"/>
      <c r="D56" s="339"/>
      <c r="E56" s="245" t="str">
        <f>Jan!E56</f>
        <v xml:space="preserve"> </v>
      </c>
      <c r="F56" s="223"/>
      <c r="G56" s="74" t="str">
        <f>IF(E56=" ", " ", IF(Mantelbogen!D26=I11,Mantelbogen!C29,Nov!G58))</f>
        <v xml:space="preserve"> </v>
      </c>
      <c r="H56" s="187">
        <v>0</v>
      </c>
      <c r="I56" s="340" t="s">
        <v>129</v>
      </c>
      <c r="J56" s="340"/>
      <c r="K56" s="170"/>
      <c r="L56" s="170"/>
    </row>
    <row r="57" spans="1:15"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5"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sheetData>
  <sheetProtection password="9BC9" sheet="1" objects="1" scenarios="1"/>
  <mergeCells count="60">
    <mergeCell ref="A11:B11"/>
    <mergeCell ref="A13:B13"/>
    <mergeCell ref="A15:A18"/>
    <mergeCell ref="B15:B18"/>
    <mergeCell ref="G1:J7"/>
    <mergeCell ref="C3:D3"/>
    <mergeCell ref="A4:E6"/>
    <mergeCell ref="I15:J15"/>
    <mergeCell ref="I17:I18"/>
    <mergeCell ref="J17:J18"/>
    <mergeCell ref="C15:C18"/>
    <mergeCell ref="D15:D18"/>
    <mergeCell ref="E15:E18"/>
    <mergeCell ref="F15:G18"/>
    <mergeCell ref="F24:G24"/>
    <mergeCell ref="H15:H18"/>
    <mergeCell ref="F25:G25"/>
    <mergeCell ref="F20:G20"/>
    <mergeCell ref="F19:G19"/>
    <mergeCell ref="F22:G22"/>
    <mergeCell ref="F23:G23"/>
    <mergeCell ref="F21:G21"/>
    <mergeCell ref="F32:G32"/>
    <mergeCell ref="F33:G33"/>
    <mergeCell ref="F34:G34"/>
    <mergeCell ref="F35:G35"/>
    <mergeCell ref="F26:G26"/>
    <mergeCell ref="F29:G29"/>
    <mergeCell ref="F30:G30"/>
    <mergeCell ref="F31:G31"/>
    <mergeCell ref="F27:G27"/>
    <mergeCell ref="F28:G28"/>
    <mergeCell ref="F42:G42"/>
    <mergeCell ref="F43:G43"/>
    <mergeCell ref="F36:G36"/>
    <mergeCell ref="F37:G37"/>
    <mergeCell ref="F38:G38"/>
    <mergeCell ref="F39:G39"/>
    <mergeCell ref="A56:D57"/>
    <mergeCell ref="I56:J58"/>
    <mergeCell ref="A58:D58"/>
    <mergeCell ref="J53:J54"/>
    <mergeCell ref="I53:I54"/>
    <mergeCell ref="A55:D55"/>
    <mergeCell ref="K15:L16"/>
    <mergeCell ref="K17:L18"/>
    <mergeCell ref="K51:K52"/>
    <mergeCell ref="L51:L52"/>
    <mergeCell ref="A54:D54"/>
    <mergeCell ref="F44:G44"/>
    <mergeCell ref="F45:G45"/>
    <mergeCell ref="F46:G46"/>
    <mergeCell ref="F47:G47"/>
    <mergeCell ref="F48:G48"/>
    <mergeCell ref="A51:D51"/>
    <mergeCell ref="I51:I52"/>
    <mergeCell ref="J51:J52"/>
    <mergeCell ref="A52:D53"/>
    <mergeCell ref="F40:G40"/>
    <mergeCell ref="F41:G41"/>
  </mergeCells>
  <phoneticPr fontId="0" type="noConversion"/>
  <conditionalFormatting sqref="E19:E49">
    <cfRule type="expression" dxfId="6" priority="11">
      <formula>AND(ISNONTEXT($C19), OR(AND($F19 &gt; 0.250001, $E19 &lt; 0.020833332), AND($F19 &gt; 0.375, $E19 &lt; 0.03124999)  ) )</formula>
    </cfRule>
  </conditionalFormatting>
  <conditionalFormatting sqref="C19:C49">
    <cfRule type="expression" dxfId="5" priority="2">
      <formula>ISTEXT($C19)</formula>
    </cfRule>
  </conditionalFormatting>
  <conditionalFormatting sqref="A19:L49">
    <cfRule type="expression" dxfId="4" priority="1">
      <formula>OR($B19="Samstag", $B19="Sonntag", NOT( ISERROR(FIND("feiertag",LOWER($C19)) ) ) )</formula>
    </cfRule>
  </conditionalFormatting>
  <conditionalFormatting sqref="F19:F49">
    <cfRule type="expression" dxfId="3" priority="29">
      <formula>AND(ISNONTEXT($C19),$F19 &gt; 0.666667)</formula>
    </cfRule>
  </conditionalFormatting>
  <conditionalFormatting sqref="C19:I49">
    <cfRule type="expression" dxfId="2" priority="4">
      <formula>AND($B19="Samstag", $H$56&gt;0.00001)</formula>
    </cfRule>
    <cfRule type="expression" dxfId="1" priority="5">
      <formula>AND($B19="Sonntag", $H$57&gt;0.00001)</formula>
    </cfRule>
  </conditionalFormatting>
  <conditionalFormatting sqref="C19:J49">
    <cfRule type="expression" dxfId="0"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1"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N60"/>
  <sheetViews>
    <sheetView tabSelected="1" topLeftCell="A16" zoomScaleNormal="100" workbookViewId="0">
      <selection activeCell="D33" sqref="D33"/>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81640625" style="18" customWidth="1"/>
    <col min="7" max="7" width="3.54296875" style="18" customWidth="1"/>
    <col min="8" max="8" width="8.453125" style="18" customWidth="1"/>
    <col min="9" max="9" width="9.81640625" style="18" customWidth="1"/>
    <col min="10" max="10" width="10.453125" style="18" customWidth="1"/>
    <col min="11" max="11" width="2.90625" style="18" customWidth="1"/>
    <col min="12" max="12" width="8.90625" style="18" customWidth="1"/>
    <col min="13" max="13" width="16.36328125" style="170" customWidth="1"/>
    <col min="14" max="14" width="18.1796875" style="170" customWidth="1"/>
    <col min="15" max="16384" width="11.54296875" style="18"/>
  </cols>
  <sheetData>
    <row r="1" spans="1:14" ht="15.5" x14ac:dyDescent="0.35">
      <c r="A1" s="15" t="s">
        <v>70</v>
      </c>
      <c r="B1" s="16"/>
      <c r="C1" s="16"/>
      <c r="D1" s="16"/>
      <c r="E1" s="16"/>
      <c r="F1" s="17"/>
      <c r="G1" s="359" t="s">
        <v>9</v>
      </c>
      <c r="H1" s="359"/>
      <c r="I1" s="359"/>
      <c r="J1" s="359"/>
    </row>
    <row r="2" spans="1:14" ht="15.5" x14ac:dyDescent="0.35">
      <c r="A2" s="16"/>
      <c r="B2" s="16"/>
      <c r="C2" s="16"/>
      <c r="D2" s="16"/>
      <c r="E2" s="16"/>
      <c r="F2" s="19"/>
      <c r="G2" s="359"/>
      <c r="H2" s="359"/>
      <c r="I2" s="359"/>
      <c r="J2" s="359"/>
    </row>
    <row r="3" spans="1:14" x14ac:dyDescent="0.25">
      <c r="C3" s="360" t="s">
        <v>11</v>
      </c>
      <c r="D3" s="360"/>
      <c r="G3" s="359"/>
      <c r="H3" s="359"/>
      <c r="I3" s="359"/>
      <c r="J3" s="359"/>
    </row>
    <row r="4" spans="1:14" ht="13.25" customHeight="1" x14ac:dyDescent="0.25">
      <c r="A4" s="361" t="s">
        <v>69</v>
      </c>
      <c r="B4" s="361"/>
      <c r="C4" s="361"/>
      <c r="D4" s="361"/>
      <c r="E4" s="361"/>
      <c r="F4" s="22"/>
      <c r="G4" s="359"/>
      <c r="H4" s="359"/>
      <c r="I4" s="359"/>
      <c r="J4" s="359"/>
    </row>
    <row r="5" spans="1:14" ht="6" customHeight="1" x14ac:dyDescent="0.25">
      <c r="A5" s="361"/>
      <c r="B5" s="361"/>
      <c r="C5" s="361"/>
      <c r="D5" s="361"/>
      <c r="E5" s="361"/>
      <c r="F5" s="22"/>
      <c r="G5" s="359"/>
      <c r="H5" s="359"/>
      <c r="I5" s="359"/>
      <c r="J5" s="359"/>
    </row>
    <row r="6" spans="1:14" ht="13.25" customHeight="1" x14ac:dyDescent="0.25">
      <c r="A6" s="361"/>
      <c r="B6" s="361"/>
      <c r="C6" s="361"/>
      <c r="D6" s="361"/>
      <c r="E6" s="361"/>
      <c r="F6" s="22"/>
      <c r="G6" s="359"/>
      <c r="H6" s="359"/>
      <c r="I6" s="359"/>
      <c r="J6" s="359"/>
    </row>
    <row r="7" spans="1:14" ht="13.25" customHeight="1" x14ac:dyDescent="0.25">
      <c r="A7" s="21"/>
      <c r="B7" s="22"/>
      <c r="C7" s="22"/>
      <c r="D7" s="22"/>
      <c r="E7" s="22"/>
      <c r="F7" s="22"/>
      <c r="G7" s="359"/>
      <c r="H7" s="359"/>
      <c r="I7" s="359"/>
      <c r="J7" s="359"/>
    </row>
    <row r="8" spans="1:14" ht="6" customHeight="1" thickBot="1" x14ac:dyDescent="0.3">
      <c r="A8" s="23"/>
      <c r="B8" s="24"/>
      <c r="C8" s="24"/>
      <c r="D8" s="24"/>
      <c r="E8" s="25"/>
      <c r="F8" s="25"/>
      <c r="G8" s="25"/>
      <c r="H8" s="25"/>
      <c r="I8" s="26"/>
      <c r="J8" s="26"/>
      <c r="K8" s="27"/>
      <c r="L8" s="28"/>
    </row>
    <row r="9" spans="1:14" ht="6" customHeight="1" x14ac:dyDescent="0.25">
      <c r="A9" s="29"/>
      <c r="B9" s="30"/>
      <c r="C9" s="30"/>
      <c r="D9" s="30"/>
      <c r="E9" s="31"/>
      <c r="F9" s="31"/>
      <c r="G9" s="31"/>
      <c r="H9" s="31"/>
      <c r="I9" s="32"/>
      <c r="J9" s="32"/>
      <c r="K9" s="33"/>
      <c r="L9" s="34"/>
    </row>
    <row r="10" spans="1:14" x14ac:dyDescent="0.25">
      <c r="A10" s="29"/>
      <c r="B10" s="30"/>
      <c r="C10" s="30"/>
      <c r="D10" s="30"/>
      <c r="E10" s="31"/>
      <c r="F10" s="31"/>
      <c r="G10" s="31"/>
      <c r="I10" s="32"/>
      <c r="J10" s="32"/>
      <c r="K10" s="33"/>
      <c r="L10" s="34"/>
    </row>
    <row r="11" spans="1:14" x14ac:dyDescent="0.25">
      <c r="A11" s="357" t="s">
        <v>6</v>
      </c>
      <c r="B11" s="357"/>
      <c r="C11" s="35" t="str">
        <f>CONCATENATE(Mantelbogen!C6,", ",Mantelbogen!C7)</f>
        <v>ATHENE, Pallas</v>
      </c>
      <c r="D11" s="36"/>
      <c r="E11" s="37"/>
      <c r="F11" s="38"/>
      <c r="G11" s="38" t="s">
        <v>8</v>
      </c>
      <c r="H11" s="39"/>
      <c r="I11" s="75" t="s">
        <v>19</v>
      </c>
      <c r="J11" s="41">
        <f>Mantelbogen!D5</f>
        <v>2024</v>
      </c>
      <c r="K11" s="42"/>
      <c r="L11" s="43"/>
    </row>
    <row r="12" spans="1:14" x14ac:dyDescent="0.25">
      <c r="B12" s="34"/>
      <c r="C12" s="44"/>
      <c r="D12" s="45"/>
      <c r="E12" s="38"/>
      <c r="F12" s="38"/>
      <c r="G12" s="31"/>
      <c r="I12" s="32"/>
      <c r="J12" s="180"/>
      <c r="K12" s="33"/>
      <c r="L12" s="34"/>
    </row>
    <row r="13" spans="1:14" x14ac:dyDescent="0.25">
      <c r="A13" s="357" t="s">
        <v>7</v>
      </c>
      <c r="B13" s="357"/>
      <c r="C13" s="153" t="str">
        <f>Mantelbogen!C8</f>
        <v>Geschäftsstelle</v>
      </c>
      <c r="D13" s="50"/>
      <c r="E13" s="37"/>
      <c r="F13" s="51"/>
      <c r="G13" s="51"/>
      <c r="H13" s="39"/>
      <c r="I13" s="36"/>
      <c r="J13" s="37"/>
      <c r="K13" s="42"/>
      <c r="L13" s="43"/>
    </row>
    <row r="14" spans="1:14" ht="13" thickBot="1" x14ac:dyDescent="0.3">
      <c r="K14" s="33"/>
      <c r="L14" s="34"/>
    </row>
    <row r="15" spans="1:14" ht="13.25" customHeight="1" x14ac:dyDescent="0.25">
      <c r="A15" s="358"/>
      <c r="B15" s="358" t="s">
        <v>101</v>
      </c>
      <c r="C15" s="358" t="s">
        <v>28</v>
      </c>
      <c r="D15" s="358" t="s">
        <v>29</v>
      </c>
      <c r="E15" s="358" t="s">
        <v>16</v>
      </c>
      <c r="F15" s="365" t="s">
        <v>61</v>
      </c>
      <c r="G15" s="365"/>
      <c r="H15" s="362" t="s">
        <v>62</v>
      </c>
      <c r="I15" s="366" t="s">
        <v>0</v>
      </c>
      <c r="J15" s="367"/>
      <c r="K15" s="325" t="s">
        <v>60</v>
      </c>
      <c r="L15" s="326"/>
      <c r="M15" s="323"/>
      <c r="N15" s="285"/>
    </row>
    <row r="16" spans="1:14" ht="16" thickBot="1" x14ac:dyDescent="0.4">
      <c r="A16" s="358"/>
      <c r="B16" s="358"/>
      <c r="C16" s="358"/>
      <c r="D16" s="358"/>
      <c r="E16" s="358"/>
      <c r="F16" s="365"/>
      <c r="G16" s="365"/>
      <c r="H16" s="363"/>
      <c r="I16" s="76" t="s">
        <v>1</v>
      </c>
      <c r="J16" s="54" t="s">
        <v>2</v>
      </c>
      <c r="K16" s="327"/>
      <c r="L16" s="328"/>
      <c r="M16" s="324"/>
      <c r="N16" s="294" t="str">
        <f>IF($I$17/$H$58 &gt; 1, CONCATENATE("Noch ",TEXT(($I$17-$H$58)*24,"#,0")), "" )</f>
        <v/>
      </c>
    </row>
    <row r="17" spans="1:14" ht="13.5" thickBot="1" x14ac:dyDescent="0.35">
      <c r="A17" s="358"/>
      <c r="B17" s="358"/>
      <c r="C17" s="358"/>
      <c r="D17" s="358"/>
      <c r="E17" s="358"/>
      <c r="F17" s="365"/>
      <c r="G17" s="365"/>
      <c r="H17" s="363"/>
      <c r="I17" s="368">
        <f>IF(Mantelbogen!D26=I11,Mantelbogen!C28,0)</f>
        <v>0</v>
      </c>
      <c r="J17" s="369">
        <f>IF(Mantelbogen!D26=I11,Mantelbogen!D28,0)</f>
        <v>0</v>
      </c>
      <c r="K17" s="329" t="str">
        <f>IF(I17/H58 &gt; 1, I17/H58, " " )</f>
        <v xml:space="preserve"> </v>
      </c>
      <c r="L17" s="330"/>
      <c r="N17" s="295" t="str">
        <f>IF($I$17/$H$58 &gt; 1, "Überstunden", " " )</f>
        <v xml:space="preserve"> </v>
      </c>
    </row>
    <row r="18" spans="1:14" ht="13.5" thickBot="1" x14ac:dyDescent="0.35">
      <c r="A18" s="358"/>
      <c r="B18" s="358"/>
      <c r="C18" s="358"/>
      <c r="D18" s="358"/>
      <c r="E18" s="358"/>
      <c r="F18" s="365"/>
      <c r="G18" s="365"/>
      <c r="H18" s="364"/>
      <c r="I18" s="368"/>
      <c r="J18" s="369"/>
      <c r="K18" s="331"/>
      <c r="L18" s="332"/>
      <c r="N18" s="295" t="str">
        <f>IF($I$17/$H$58 &gt; 1, "bis 01.04. abzubauen !", " " )</f>
        <v xml:space="preserve"> </v>
      </c>
    </row>
    <row r="19" spans="1:14" ht="17.399999999999999" customHeight="1" x14ac:dyDescent="0.5">
      <c r="A19" s="196">
        <v>1</v>
      </c>
      <c r="B19" s="203" t="str">
        <f>TEXT(CONCATENATE(A19,".",I$11," ", J$11), "TTTT")</f>
        <v>Montag</v>
      </c>
      <c r="C19" s="78" t="s">
        <v>37</v>
      </c>
      <c r="D19" s="79"/>
      <c r="E19" s="79"/>
      <c r="F19" s="355"/>
      <c r="G19" s="356"/>
      <c r="H19" s="154"/>
      <c r="I19" s="207">
        <v>0</v>
      </c>
      <c r="J19" s="208">
        <v>0</v>
      </c>
      <c r="K19" s="155" t="str">
        <f>IF(AND(B19="Sonntag",SUM(I19:I19)&lt;SUM(J19:J19)),"-","")</f>
        <v/>
      </c>
      <c r="L19" s="156" t="str">
        <f>IF(B19="Sonntag",ABS(SUM(I19:I19)-SUM(J19:J19)),"")</f>
        <v/>
      </c>
    </row>
    <row r="20" spans="1:14" ht="17.399999999999999" customHeight="1" x14ac:dyDescent="0.5">
      <c r="A20" s="55">
        <v>2</v>
      </c>
      <c r="B20" s="56" t="str">
        <f t="shared" ref="B20:B49" si="0">TEXT(CONCATENATE(A20,".",I$11," ", J$11), "TTTT")</f>
        <v>Dienstag</v>
      </c>
      <c r="C20" s="4">
        <v>0.35416666666666669</v>
      </c>
      <c r="D20" s="4">
        <v>0.70833333333333337</v>
      </c>
      <c r="E20" s="4">
        <v>2.0833333333333332E-2</v>
      </c>
      <c r="F20" s="346">
        <f>IF(ISTEXT(C20),"",D20-C20-E20)</f>
        <v>0.33333333333333337</v>
      </c>
      <c r="G20" s="347"/>
      <c r="H20" s="150">
        <f>IF(AND(ISTEXT(C20),ISERR(SEARCH("ausgleich",C20,1))),"",INDEX(H$51:H$58,WEEKDAY(CONCATENATE(A20,".",I$11," ",J$11),2),1,1))</f>
        <v>0.33333333333333331</v>
      </c>
      <c r="I20" s="186" t="str">
        <f t="shared" ref="I20:I49" si="1">IF(OR(AND(F20&gt;H20,OR(B20&lt;&gt;"Samstag",H$56&gt;0),OR(B20&lt;&gt;"Sonntag",H$57&gt;0),AND(ISNONTEXT(C20),C20&lt;&gt;""))),F20-H20,"")</f>
        <v/>
      </c>
      <c r="J20" s="5" t="str">
        <f>IF(NOT(ISERR(SEARCH("ausgleich",C20,1))),H20, IF(AND(F20&lt;H20,B20&lt;&gt;"Samstag",B20&lt;&gt;"Sonntag",ISNONTEXT(C20)),H20-F20,""))</f>
        <v/>
      </c>
      <c r="K20" s="157" t="str">
        <f>IF(AND(B20="Sonntag",SUM(I19:I20)&lt;SUM(J19:J20)),"-","")</f>
        <v/>
      </c>
      <c r="L20" s="158" t="str">
        <f>IF(B20="Sonntag",ABS(SUM(I19:I20)-SUM(J19:J20)),"")</f>
        <v/>
      </c>
    </row>
    <row r="21" spans="1:14" ht="17.399999999999999" customHeight="1" x14ac:dyDescent="0.5">
      <c r="A21" s="159">
        <v>3</v>
      </c>
      <c r="B21" s="56" t="str">
        <f t="shared" si="0"/>
        <v>Mittwoch</v>
      </c>
      <c r="C21" s="4">
        <v>0.35416666666666669</v>
      </c>
      <c r="D21" s="4">
        <v>0.70833333333333337</v>
      </c>
      <c r="E21" s="4">
        <v>2.0833333333333332E-2</v>
      </c>
      <c r="F21" s="346">
        <f t="shared" ref="F21:F49" si="2">IF(ISTEXT(C21),"",D21-C21-E21)</f>
        <v>0.33333333333333337</v>
      </c>
      <c r="G21" s="347"/>
      <c r="H21" s="150">
        <f t="shared" ref="H21:H49" si="3">IF(AND(ISTEXT(C21),ISERR(SEARCH("ausgleich",C21,1))),"",INDEX(H$51:H$58,WEEKDAY(CONCATENATE(A21,".",I$11," ",J$11),2),1,1))</f>
        <v>0.33333333333333331</v>
      </c>
      <c r="I21" s="186" t="str">
        <f t="shared" si="1"/>
        <v/>
      </c>
      <c r="J21" s="5" t="str">
        <f t="shared" ref="J21:J49" si="4">IF(NOT(ISERR(SEARCH("ausgleich",C21,1))),H21, IF(AND(F21&lt;H21,B21&lt;&gt;"Samstag",B21&lt;&gt;"Sonntag",ISNONTEXT(C21)),H21-F21,""))</f>
        <v/>
      </c>
      <c r="K21" s="157" t="str">
        <f>IF(AND(B21="Sonntag",SUM(I19:I21)&lt;SUM(J19:J21)),"-","")</f>
        <v/>
      </c>
      <c r="L21" s="158" t="str">
        <f>IF(B21="Sonntag",ABS(SUM(I19:I21)-SUM(J19:J21)),"")</f>
        <v/>
      </c>
    </row>
    <row r="22" spans="1:14" ht="17.399999999999999" customHeight="1" x14ac:dyDescent="0.5">
      <c r="A22" s="57">
        <v>4</v>
      </c>
      <c r="B22" s="56" t="str">
        <f t="shared" si="0"/>
        <v>Donnerstag</v>
      </c>
      <c r="C22" s="4">
        <v>0.35416666666666669</v>
      </c>
      <c r="D22" s="4">
        <v>0.70833333333333337</v>
      </c>
      <c r="E22" s="4">
        <v>2.0833333333333332E-2</v>
      </c>
      <c r="F22" s="346">
        <f t="shared" si="2"/>
        <v>0.33333333333333337</v>
      </c>
      <c r="G22" s="347"/>
      <c r="H22" s="150">
        <f>IF(AND(ISTEXT(C22),ISERR(SEARCH("ausgleich",C22,1))),"",INDEX(H$51:H$58,WEEKDAY(CONCATENATE(A22,".",I$11," ",J$11),2),1,1))</f>
        <v>0.33333333333333331</v>
      </c>
      <c r="I22" s="186" t="str">
        <f t="shared" si="1"/>
        <v/>
      </c>
      <c r="J22" s="5" t="str">
        <f t="shared" si="4"/>
        <v/>
      </c>
      <c r="K22" s="157" t="str">
        <f>IF(AND(B22="Sonntag",SUM(I19:I22)&lt;SUM(J19:J22)),"-","")</f>
        <v/>
      </c>
      <c r="L22" s="158" t="str">
        <f>IF(B22="Sonntag",ABS(SUM(I19:I22)-SUM(J19:J22)),"")</f>
        <v/>
      </c>
    </row>
    <row r="23" spans="1:14" ht="17.399999999999999" customHeight="1" x14ac:dyDescent="0.5">
      <c r="A23" s="57">
        <v>5</v>
      </c>
      <c r="B23" s="56" t="str">
        <f t="shared" si="0"/>
        <v>Freitag</v>
      </c>
      <c r="C23" s="4">
        <v>0.35416666666666669</v>
      </c>
      <c r="D23" s="4">
        <v>0.70833333333333337</v>
      </c>
      <c r="E23" s="4">
        <v>2.0833333333333332E-2</v>
      </c>
      <c r="F23" s="346">
        <f t="shared" si="2"/>
        <v>0.33333333333333337</v>
      </c>
      <c r="G23" s="347"/>
      <c r="H23" s="150">
        <f t="shared" si="3"/>
        <v>0.3125</v>
      </c>
      <c r="I23" s="186">
        <f t="shared" si="1"/>
        <v>2.083333333333337E-2</v>
      </c>
      <c r="J23" s="5" t="str">
        <f>IF(NOT(ISERR(SEARCH("ausgleich",C23,1))),H23, IF(AND(F23&lt;H23,B23&lt;&gt;"Samstag",B23&lt;&gt;"Sonntag",ISNONTEXT(C23)),H23-F23,""))</f>
        <v/>
      </c>
      <c r="K23" s="157" t="str">
        <f>IF(AND(B23="Sonntag",SUM(I19:I23)&lt;SUM(J19:J23)),"-","")</f>
        <v/>
      </c>
      <c r="L23" s="158" t="str">
        <f>IF(B23="Sonntag",ABS(SUM(I19:I23)-SUM(J19:J23)),"")</f>
        <v/>
      </c>
    </row>
    <row r="24" spans="1:14" ht="17.399999999999999" customHeight="1" x14ac:dyDescent="0.5">
      <c r="A24" s="196">
        <v>6</v>
      </c>
      <c r="B24" s="203" t="str">
        <f t="shared" si="0"/>
        <v>Samstag</v>
      </c>
      <c r="C24" s="78" t="s">
        <v>36</v>
      </c>
      <c r="D24" s="79"/>
      <c r="E24" s="79"/>
      <c r="F24" s="353"/>
      <c r="G24" s="354"/>
      <c r="H24" s="151"/>
      <c r="I24" s="207">
        <v>0</v>
      </c>
      <c r="J24" s="208">
        <v>0</v>
      </c>
      <c r="K24" s="160" t="str">
        <f>IF(AND(B24="Sonntag",SUM(I19:I24)&lt;SUM(J19:J24)),"-","")</f>
        <v/>
      </c>
      <c r="L24" s="161" t="str">
        <f>IF(B24="Sonntag",ABS(SUM(I19:I24)-SUM(J19:J24)),"")</f>
        <v/>
      </c>
    </row>
    <row r="25" spans="1:14" ht="17.399999999999999" customHeight="1" x14ac:dyDescent="0.5">
      <c r="A25" s="57">
        <v>7</v>
      </c>
      <c r="B25" s="56" t="str">
        <f t="shared" si="0"/>
        <v>Sonntag</v>
      </c>
      <c r="C25" s="4">
        <v>0.35416666666666669</v>
      </c>
      <c r="D25" s="4">
        <v>0.70833333333333337</v>
      </c>
      <c r="E25" s="4">
        <v>2.0833333333333301E-2</v>
      </c>
      <c r="F25" s="346">
        <f t="shared" si="2"/>
        <v>0.33333333333333337</v>
      </c>
      <c r="G25" s="347"/>
      <c r="H25" s="150">
        <f t="shared" si="3"/>
        <v>0</v>
      </c>
      <c r="I25" s="186" t="str">
        <f t="shared" si="1"/>
        <v/>
      </c>
      <c r="J25" s="5" t="str">
        <f t="shared" si="4"/>
        <v/>
      </c>
      <c r="K25" s="157" t="str">
        <f>IF(AND(B25="Sonntag",SUM(I19:I25)&lt;SUM(J19:J25)),"-","")</f>
        <v/>
      </c>
      <c r="L25" s="158">
        <f>IF(B25="Sonntag",ABS(SUM(I19:I25)-SUM(J19:J25)),"")</f>
        <v>2.083333333333337E-2</v>
      </c>
      <c r="N25" s="283" t="s">
        <v>116</v>
      </c>
    </row>
    <row r="26" spans="1:14" ht="17.399999999999999" customHeight="1" x14ac:dyDescent="0.5">
      <c r="A26" s="57">
        <v>8</v>
      </c>
      <c r="B26" s="56" t="str">
        <f t="shared" si="0"/>
        <v>Montag</v>
      </c>
      <c r="C26" s="4">
        <v>0.35416666666666669</v>
      </c>
      <c r="D26" s="4">
        <v>0.70833333333333337</v>
      </c>
      <c r="E26" s="4">
        <v>2.0833333333333332E-2</v>
      </c>
      <c r="F26" s="346">
        <f t="shared" si="2"/>
        <v>0.33333333333333337</v>
      </c>
      <c r="G26" s="347"/>
      <c r="H26" s="150">
        <f t="shared" si="3"/>
        <v>0.33333333333333331</v>
      </c>
      <c r="I26" s="186" t="str">
        <f t="shared" si="1"/>
        <v/>
      </c>
      <c r="J26" s="5" t="str">
        <f t="shared" si="4"/>
        <v/>
      </c>
      <c r="K26" s="157" t="str">
        <f>IF(AND(B26="Sonntag",SUM(I20:I26)&lt;SUM(J20:J26)),"-","")</f>
        <v/>
      </c>
      <c r="L26" s="158" t="str">
        <f>IF(B26="Sonntag",ABS(SUM(I20:I26)-SUM(J20:J26)),"")</f>
        <v/>
      </c>
    </row>
    <row r="27" spans="1:14" ht="17.399999999999999" customHeight="1" x14ac:dyDescent="0.5">
      <c r="A27" s="55">
        <v>9</v>
      </c>
      <c r="B27" s="56" t="str">
        <f t="shared" si="0"/>
        <v>Dienstag</v>
      </c>
      <c r="C27" s="4">
        <v>0.35416666666666669</v>
      </c>
      <c r="D27" s="4">
        <v>0.70833333333333337</v>
      </c>
      <c r="E27" s="4">
        <v>2.0833333333333332E-2</v>
      </c>
      <c r="F27" s="346">
        <f t="shared" si="2"/>
        <v>0.33333333333333337</v>
      </c>
      <c r="G27" s="347"/>
      <c r="H27" s="150">
        <f t="shared" si="3"/>
        <v>0.33333333333333331</v>
      </c>
      <c r="I27" s="186" t="str">
        <f t="shared" si="1"/>
        <v/>
      </c>
      <c r="J27" s="5" t="str">
        <f t="shared" si="4"/>
        <v/>
      </c>
      <c r="K27" s="157" t="str">
        <f>IF(AND(B27="Sonntag",SUM(I21:I27)&lt;SUM(J21:J27)),"-","")</f>
        <v/>
      </c>
      <c r="L27" s="158" t="str">
        <f>IF(B27="Sonntag",ABS(SUM(I21:I27)-SUM(J21:J27)),"")</f>
        <v/>
      </c>
    </row>
    <row r="28" spans="1:14" ht="17.399999999999999" customHeight="1" x14ac:dyDescent="0.5">
      <c r="A28" s="55">
        <v>10</v>
      </c>
      <c r="B28" s="56" t="str">
        <f t="shared" si="0"/>
        <v>Mittwoch</v>
      </c>
      <c r="C28" s="4">
        <v>0.35416666666666669</v>
      </c>
      <c r="D28" s="4">
        <v>0.70833333333333337</v>
      </c>
      <c r="E28" s="4">
        <v>2.0833333333333332E-2</v>
      </c>
      <c r="F28" s="346">
        <f t="shared" si="2"/>
        <v>0.33333333333333337</v>
      </c>
      <c r="G28" s="347"/>
      <c r="H28" s="150">
        <f t="shared" si="3"/>
        <v>0.33333333333333331</v>
      </c>
      <c r="I28" s="186" t="str">
        <f t="shared" si="1"/>
        <v/>
      </c>
      <c r="J28" s="5" t="str">
        <f t="shared" si="4"/>
        <v/>
      </c>
      <c r="K28" s="157" t="str">
        <f t="shared" ref="K28:K45" si="5">IF(AND(B28="Sonntag",SUM(I22:I28)&lt;SUM(J22:J28)),"-","")</f>
        <v/>
      </c>
      <c r="L28" s="158" t="str">
        <f t="shared" ref="L28:L45" si="6">IF(B28="Sonntag",ABS(SUM(I22:I28)-SUM(J22:J28)),"")</f>
        <v/>
      </c>
    </row>
    <row r="29" spans="1:14" ht="17.399999999999999" customHeight="1" x14ac:dyDescent="0.5">
      <c r="A29" s="57">
        <v>11</v>
      </c>
      <c r="B29" s="56" t="str">
        <f t="shared" si="0"/>
        <v>Donnerstag</v>
      </c>
      <c r="C29" s="4">
        <v>0.35416666666666669</v>
      </c>
      <c r="D29" s="4">
        <v>0.70833333333333337</v>
      </c>
      <c r="E29" s="4">
        <v>2.0833333333333332E-2</v>
      </c>
      <c r="F29" s="346">
        <f t="shared" si="2"/>
        <v>0.33333333333333337</v>
      </c>
      <c r="G29" s="347"/>
      <c r="H29" s="150">
        <f t="shared" si="3"/>
        <v>0.33333333333333331</v>
      </c>
      <c r="I29" s="186" t="str">
        <f t="shared" si="1"/>
        <v/>
      </c>
      <c r="J29" s="5" t="str">
        <f t="shared" si="4"/>
        <v/>
      </c>
      <c r="K29" s="157" t="str">
        <f t="shared" si="5"/>
        <v/>
      </c>
      <c r="L29" s="158" t="str">
        <f t="shared" si="6"/>
        <v/>
      </c>
    </row>
    <row r="30" spans="1:14" ht="17.399999999999999" customHeight="1" x14ac:dyDescent="0.5">
      <c r="A30" s="57">
        <v>12</v>
      </c>
      <c r="B30" s="56" t="str">
        <f t="shared" si="0"/>
        <v>Freitag</v>
      </c>
      <c r="C30" s="4">
        <v>0.35416666666666669</v>
      </c>
      <c r="D30" s="4">
        <v>0.70833333333333337</v>
      </c>
      <c r="E30" s="4">
        <v>2.0833333333333332E-2</v>
      </c>
      <c r="F30" s="346">
        <f t="shared" si="2"/>
        <v>0.33333333333333337</v>
      </c>
      <c r="G30" s="347"/>
      <c r="H30" s="150">
        <f t="shared" si="3"/>
        <v>0.3125</v>
      </c>
      <c r="I30" s="186">
        <f t="shared" si="1"/>
        <v>2.083333333333337E-2</v>
      </c>
      <c r="J30" s="5" t="str">
        <f t="shared" si="4"/>
        <v/>
      </c>
      <c r="K30" s="157" t="str">
        <f t="shared" si="5"/>
        <v/>
      </c>
      <c r="L30" s="158" t="str">
        <f t="shared" si="6"/>
        <v/>
      </c>
    </row>
    <row r="31" spans="1:14" ht="17.399999999999999" customHeight="1" x14ac:dyDescent="0.5">
      <c r="A31" s="57">
        <v>13</v>
      </c>
      <c r="B31" s="56" t="str">
        <f t="shared" si="0"/>
        <v>Samstag</v>
      </c>
      <c r="C31" s="4">
        <v>0.35416666666666669</v>
      </c>
      <c r="D31" s="4">
        <v>0.70833333333333337</v>
      </c>
      <c r="E31" s="4">
        <v>2.0833333333333332E-2</v>
      </c>
      <c r="F31" s="346">
        <f t="shared" si="2"/>
        <v>0.33333333333333337</v>
      </c>
      <c r="G31" s="347"/>
      <c r="H31" s="150">
        <f t="shared" si="3"/>
        <v>0</v>
      </c>
      <c r="I31" s="186" t="str">
        <f t="shared" si="1"/>
        <v/>
      </c>
      <c r="J31" s="5" t="str">
        <f t="shared" si="4"/>
        <v/>
      </c>
      <c r="K31" s="157" t="str">
        <f t="shared" si="5"/>
        <v/>
      </c>
      <c r="L31" s="158" t="str">
        <f t="shared" si="6"/>
        <v/>
      </c>
    </row>
    <row r="32" spans="1:14" ht="17.399999999999999" customHeight="1" x14ac:dyDescent="0.5">
      <c r="A32" s="57">
        <v>14</v>
      </c>
      <c r="B32" s="56" t="str">
        <f t="shared" si="0"/>
        <v>Sonntag</v>
      </c>
      <c r="C32" s="4">
        <v>0.35416666666666669</v>
      </c>
      <c r="D32" s="4">
        <v>0.70833333333333337</v>
      </c>
      <c r="E32" s="4">
        <v>2.0833333333333332E-2</v>
      </c>
      <c r="F32" s="346">
        <f t="shared" si="2"/>
        <v>0.33333333333333337</v>
      </c>
      <c r="G32" s="347"/>
      <c r="H32" s="150">
        <f t="shared" si="3"/>
        <v>0</v>
      </c>
      <c r="I32" s="186" t="str">
        <f t="shared" si="1"/>
        <v/>
      </c>
      <c r="J32" s="5" t="str">
        <f t="shared" si="4"/>
        <v/>
      </c>
      <c r="K32" s="157" t="str">
        <f t="shared" si="5"/>
        <v/>
      </c>
      <c r="L32" s="158">
        <f t="shared" si="6"/>
        <v>2.083333333333337E-2</v>
      </c>
    </row>
    <row r="33" spans="1:14" ht="17.399999999999999" customHeight="1" x14ac:dyDescent="0.5">
      <c r="A33" s="55">
        <v>15</v>
      </c>
      <c r="B33" s="56" t="str">
        <f t="shared" si="0"/>
        <v>Montag</v>
      </c>
      <c r="C33" s="4">
        <v>0.35416666666666669</v>
      </c>
      <c r="D33" s="4">
        <v>0.70833333333333337</v>
      </c>
      <c r="E33" s="4">
        <v>2.0833333333333332E-2</v>
      </c>
      <c r="F33" s="346">
        <f t="shared" si="2"/>
        <v>0.33333333333333337</v>
      </c>
      <c r="G33" s="347"/>
      <c r="H33" s="150">
        <f t="shared" si="3"/>
        <v>0.33333333333333331</v>
      </c>
      <c r="I33" s="186" t="str">
        <f t="shared" si="1"/>
        <v/>
      </c>
      <c r="J33" s="5" t="str">
        <f t="shared" si="4"/>
        <v/>
      </c>
      <c r="K33" s="157" t="str">
        <f t="shared" si="5"/>
        <v/>
      </c>
      <c r="L33" s="158" t="str">
        <f t="shared" si="6"/>
        <v/>
      </c>
    </row>
    <row r="34" spans="1:14" ht="17.399999999999999" customHeight="1" x14ac:dyDescent="0.5">
      <c r="A34" s="55">
        <v>16</v>
      </c>
      <c r="B34" s="56" t="str">
        <f t="shared" si="0"/>
        <v>Dienstag</v>
      </c>
      <c r="C34" s="4">
        <v>0.35416666666666669</v>
      </c>
      <c r="D34" s="4">
        <v>0.70833333333333337</v>
      </c>
      <c r="E34" s="4">
        <v>2.0833333333333332E-2</v>
      </c>
      <c r="F34" s="346">
        <f t="shared" si="2"/>
        <v>0.33333333333333337</v>
      </c>
      <c r="G34" s="347"/>
      <c r="H34" s="150">
        <f t="shared" si="3"/>
        <v>0.33333333333333331</v>
      </c>
      <c r="I34" s="186" t="str">
        <f t="shared" si="1"/>
        <v/>
      </c>
      <c r="J34" s="5" t="str">
        <f t="shared" si="4"/>
        <v/>
      </c>
      <c r="K34" s="157" t="str">
        <f t="shared" si="5"/>
        <v/>
      </c>
      <c r="L34" s="158" t="str">
        <f t="shared" si="6"/>
        <v/>
      </c>
    </row>
    <row r="35" spans="1:14" ht="17.399999999999999" customHeight="1" x14ac:dyDescent="0.5">
      <c r="A35" s="55">
        <v>17</v>
      </c>
      <c r="B35" s="56" t="str">
        <f t="shared" si="0"/>
        <v>Mittwoch</v>
      </c>
      <c r="C35" s="4">
        <v>0.35416666666666669</v>
      </c>
      <c r="D35" s="4">
        <v>0.70833333333333337</v>
      </c>
      <c r="E35" s="4">
        <v>2.0833333333333332E-2</v>
      </c>
      <c r="F35" s="346">
        <f t="shared" si="2"/>
        <v>0.33333333333333337</v>
      </c>
      <c r="G35" s="347"/>
      <c r="H35" s="150">
        <f t="shared" si="3"/>
        <v>0.33333333333333331</v>
      </c>
      <c r="I35" s="186" t="str">
        <f t="shared" si="1"/>
        <v/>
      </c>
      <c r="J35" s="5" t="str">
        <f t="shared" si="4"/>
        <v/>
      </c>
      <c r="K35" s="157" t="str">
        <f t="shared" si="5"/>
        <v/>
      </c>
      <c r="L35" s="158" t="str">
        <f t="shared" si="6"/>
        <v/>
      </c>
    </row>
    <row r="36" spans="1:14" ht="17.399999999999999" customHeight="1" x14ac:dyDescent="0.5">
      <c r="A36" s="55">
        <v>18</v>
      </c>
      <c r="B36" s="56" t="str">
        <f t="shared" si="0"/>
        <v>Donnerstag</v>
      </c>
      <c r="C36" s="4">
        <v>0.35416666666666669</v>
      </c>
      <c r="D36" s="4">
        <v>0.70833333333333337</v>
      </c>
      <c r="E36" s="4">
        <v>2.0833333333333332E-2</v>
      </c>
      <c r="F36" s="346">
        <f t="shared" si="2"/>
        <v>0.33333333333333337</v>
      </c>
      <c r="G36" s="347"/>
      <c r="H36" s="150">
        <f t="shared" si="3"/>
        <v>0.33333333333333331</v>
      </c>
      <c r="I36" s="186" t="str">
        <f t="shared" si="1"/>
        <v/>
      </c>
      <c r="J36" s="5" t="str">
        <f>IF(NOT(ISERR(SEARCH("ausgleich",C36,1))),H36, IF(AND(F36&lt;H36,B36&lt;&gt;"Samstag",B36&lt;&gt;"Sonntag",ISNONTEXT(C36)),H36-F36,""))</f>
        <v/>
      </c>
      <c r="K36" s="157" t="str">
        <f t="shared" si="5"/>
        <v/>
      </c>
      <c r="L36" s="158" t="str">
        <f t="shared" si="6"/>
        <v/>
      </c>
    </row>
    <row r="37" spans="1:14" ht="17.399999999999999" customHeight="1" x14ac:dyDescent="0.5">
      <c r="A37" s="55">
        <v>19</v>
      </c>
      <c r="B37" s="56" t="str">
        <f t="shared" si="0"/>
        <v>Freitag</v>
      </c>
      <c r="C37" s="4">
        <v>0.35416666666666669</v>
      </c>
      <c r="D37" s="4">
        <v>0.70833333333333337</v>
      </c>
      <c r="E37" s="4">
        <v>2.0833333333333332E-2</v>
      </c>
      <c r="F37" s="346">
        <f t="shared" si="2"/>
        <v>0.33333333333333337</v>
      </c>
      <c r="G37" s="347"/>
      <c r="H37" s="150">
        <f t="shared" si="3"/>
        <v>0.3125</v>
      </c>
      <c r="I37" s="186">
        <f t="shared" si="1"/>
        <v>2.083333333333337E-2</v>
      </c>
      <c r="J37" s="5" t="str">
        <f t="shared" si="4"/>
        <v/>
      </c>
      <c r="K37" s="157" t="str">
        <f t="shared" si="5"/>
        <v/>
      </c>
      <c r="L37" s="158" t="str">
        <f t="shared" si="6"/>
        <v/>
      </c>
      <c r="M37" s="173"/>
      <c r="N37" s="299" t="str">
        <f>IF(Mantelbogen!$C$8="Geschäftsstelle", "2024 Klassenstzg", "")</f>
        <v>2024 Klassenstzg</v>
      </c>
    </row>
    <row r="38" spans="1:14" ht="17.399999999999999" customHeight="1" x14ac:dyDescent="0.5">
      <c r="A38" s="55">
        <v>20</v>
      </c>
      <c r="B38" s="56" t="str">
        <f t="shared" si="0"/>
        <v>Samstag</v>
      </c>
      <c r="C38" s="4">
        <v>0.35416666666666669</v>
      </c>
      <c r="D38" s="4">
        <v>0.70833333333333337</v>
      </c>
      <c r="E38" s="4">
        <v>2.0833333333333332E-2</v>
      </c>
      <c r="F38" s="346">
        <f t="shared" si="2"/>
        <v>0.33333333333333337</v>
      </c>
      <c r="G38" s="347"/>
      <c r="H38" s="150">
        <f t="shared" si="3"/>
        <v>0</v>
      </c>
      <c r="I38" s="186" t="str">
        <f t="shared" si="1"/>
        <v/>
      </c>
      <c r="J38" s="5" t="str">
        <f t="shared" si="4"/>
        <v/>
      </c>
      <c r="K38" s="157" t="str">
        <f t="shared" si="5"/>
        <v/>
      </c>
      <c r="L38" s="158" t="str">
        <f t="shared" si="6"/>
        <v/>
      </c>
      <c r="N38" s="299" t="str">
        <f>IF(Mantelbogen!$C$8="Geschäftsstelle", "2024 Gesamtstzg", "")</f>
        <v>2024 Gesamtstzg</v>
      </c>
    </row>
    <row r="39" spans="1:14" ht="17.399999999999999" customHeight="1" x14ac:dyDescent="0.5">
      <c r="A39" s="55">
        <v>21</v>
      </c>
      <c r="B39" s="56" t="str">
        <f t="shared" si="0"/>
        <v>Sonntag</v>
      </c>
      <c r="C39" s="4">
        <v>0.35416666666666669</v>
      </c>
      <c r="D39" s="4">
        <v>0.70833333333333337</v>
      </c>
      <c r="E39" s="4">
        <v>2.0833333333333332E-2</v>
      </c>
      <c r="F39" s="346">
        <f t="shared" si="2"/>
        <v>0.33333333333333337</v>
      </c>
      <c r="G39" s="347"/>
      <c r="H39" s="150">
        <f t="shared" si="3"/>
        <v>0</v>
      </c>
      <c r="I39" s="186" t="str">
        <f t="shared" si="1"/>
        <v/>
      </c>
      <c r="J39" s="5" t="str">
        <f t="shared" si="4"/>
        <v/>
      </c>
      <c r="K39" s="157" t="str">
        <f t="shared" si="5"/>
        <v/>
      </c>
      <c r="L39" s="158">
        <f t="shared" si="6"/>
        <v>2.083333333333337E-2</v>
      </c>
    </row>
    <row r="40" spans="1:14" ht="17.399999999999999" customHeight="1" x14ac:dyDescent="0.5">
      <c r="A40" s="55">
        <v>22</v>
      </c>
      <c r="B40" s="56" t="str">
        <f t="shared" si="0"/>
        <v>Montag</v>
      </c>
      <c r="C40" s="4">
        <v>0.35416666666666669</v>
      </c>
      <c r="D40" s="4">
        <v>0.70833333333333337</v>
      </c>
      <c r="E40" s="4">
        <v>2.0833333333333332E-2</v>
      </c>
      <c r="F40" s="346">
        <f t="shared" si="2"/>
        <v>0.33333333333333337</v>
      </c>
      <c r="G40" s="347"/>
      <c r="H40" s="150">
        <f t="shared" si="3"/>
        <v>0.33333333333333331</v>
      </c>
      <c r="I40" s="186" t="str">
        <f t="shared" si="1"/>
        <v/>
      </c>
      <c r="J40" s="5" t="str">
        <f t="shared" si="4"/>
        <v/>
      </c>
      <c r="K40" s="157" t="str">
        <f t="shared" si="5"/>
        <v/>
      </c>
      <c r="L40" s="158" t="str">
        <f t="shared" si="6"/>
        <v/>
      </c>
    </row>
    <row r="41" spans="1:14" ht="17.399999999999999" customHeight="1" x14ac:dyDescent="0.5">
      <c r="A41" s="55">
        <v>23</v>
      </c>
      <c r="B41" s="56" t="str">
        <f t="shared" si="0"/>
        <v>Dienstag</v>
      </c>
      <c r="C41" s="4">
        <v>0.35416666666666669</v>
      </c>
      <c r="D41" s="4">
        <v>0.70833333333333337</v>
      </c>
      <c r="E41" s="4">
        <v>2.0833333333333332E-2</v>
      </c>
      <c r="F41" s="346">
        <f t="shared" si="2"/>
        <v>0.33333333333333337</v>
      </c>
      <c r="G41" s="347"/>
      <c r="H41" s="150">
        <f t="shared" si="3"/>
        <v>0.33333333333333331</v>
      </c>
      <c r="I41" s="186" t="str">
        <f t="shared" si="1"/>
        <v/>
      </c>
      <c r="J41" s="5" t="str">
        <f t="shared" si="4"/>
        <v/>
      </c>
      <c r="K41" s="157" t="str">
        <f t="shared" si="5"/>
        <v/>
      </c>
      <c r="L41" s="158" t="str">
        <f t="shared" si="6"/>
        <v/>
      </c>
    </row>
    <row r="42" spans="1:14" ht="17.399999999999999" customHeight="1" x14ac:dyDescent="0.5">
      <c r="A42" s="55">
        <v>24</v>
      </c>
      <c r="B42" s="56" t="str">
        <f t="shared" si="0"/>
        <v>Mittwoch</v>
      </c>
      <c r="C42" s="4">
        <v>0.35416666666666669</v>
      </c>
      <c r="D42" s="4">
        <v>0.70833333333333337</v>
      </c>
      <c r="E42" s="4">
        <v>2.0833333333333332E-2</v>
      </c>
      <c r="F42" s="346">
        <f t="shared" si="2"/>
        <v>0.33333333333333337</v>
      </c>
      <c r="G42" s="347"/>
      <c r="H42" s="150">
        <f t="shared" si="3"/>
        <v>0.33333333333333331</v>
      </c>
      <c r="I42" s="186" t="str">
        <f t="shared" si="1"/>
        <v/>
      </c>
      <c r="J42" s="5" t="str">
        <f t="shared" si="4"/>
        <v/>
      </c>
      <c r="K42" s="157" t="str">
        <f t="shared" si="5"/>
        <v/>
      </c>
      <c r="L42" s="158" t="str">
        <f t="shared" si="6"/>
        <v/>
      </c>
    </row>
    <row r="43" spans="1:14" ht="17.399999999999999" customHeight="1" x14ac:dyDescent="0.5">
      <c r="A43" s="55">
        <v>25</v>
      </c>
      <c r="B43" s="56" t="str">
        <f t="shared" si="0"/>
        <v>Donnerstag</v>
      </c>
      <c r="C43" s="4">
        <v>0.35416666666666669</v>
      </c>
      <c r="D43" s="4">
        <v>0.70833333333333337</v>
      </c>
      <c r="E43" s="4">
        <v>2.0833333333333332E-2</v>
      </c>
      <c r="F43" s="346">
        <f t="shared" si="2"/>
        <v>0.33333333333333337</v>
      </c>
      <c r="G43" s="347"/>
      <c r="H43" s="150">
        <f t="shared" si="3"/>
        <v>0.33333333333333331</v>
      </c>
      <c r="I43" s="186" t="str">
        <f t="shared" si="1"/>
        <v/>
      </c>
      <c r="J43" s="5" t="str">
        <f>IF(NOT(ISERR(SEARCH("ausgleich",C43,1))),H43, IF(AND(F43&lt;H43,B43&lt;&gt;"Samstag",B43&lt;&gt;"Sonntag",ISNONTEXT(C43)),H43-F43,""))</f>
        <v/>
      </c>
      <c r="K43" s="157" t="str">
        <f>IF(AND(B43="Sonntag",SUM(I37:I43)&lt;SUM(J37:J43)),"-","")</f>
        <v/>
      </c>
      <c r="L43" s="158" t="str">
        <f t="shared" si="6"/>
        <v/>
      </c>
    </row>
    <row r="44" spans="1:14" ht="17.399999999999999" customHeight="1" x14ac:dyDescent="0.5">
      <c r="A44" s="55">
        <v>26</v>
      </c>
      <c r="B44" s="56" t="str">
        <f t="shared" si="0"/>
        <v>Freitag</v>
      </c>
      <c r="C44" s="4">
        <v>0.35416666666666669</v>
      </c>
      <c r="D44" s="4">
        <v>0.70833333333333337</v>
      </c>
      <c r="E44" s="4">
        <v>2.0833333333333332E-2</v>
      </c>
      <c r="F44" s="346">
        <f t="shared" si="2"/>
        <v>0.33333333333333337</v>
      </c>
      <c r="G44" s="347"/>
      <c r="H44" s="150">
        <f t="shared" si="3"/>
        <v>0.3125</v>
      </c>
      <c r="I44" s="186">
        <f t="shared" si="1"/>
        <v>2.083333333333337E-2</v>
      </c>
      <c r="J44" s="5" t="str">
        <f t="shared" si="4"/>
        <v/>
      </c>
      <c r="K44" s="157" t="str">
        <f t="shared" si="5"/>
        <v/>
      </c>
      <c r="L44" s="158" t="str">
        <f t="shared" si="6"/>
        <v/>
      </c>
    </row>
    <row r="45" spans="1:14" ht="17.399999999999999" customHeight="1" x14ac:dyDescent="0.5">
      <c r="A45" s="55">
        <v>27</v>
      </c>
      <c r="B45" s="56" t="str">
        <f t="shared" si="0"/>
        <v>Samstag</v>
      </c>
      <c r="C45" s="4">
        <v>0.35416666666666669</v>
      </c>
      <c r="D45" s="4">
        <v>0.70833333333333337</v>
      </c>
      <c r="E45" s="4">
        <v>2.0833333333333332E-2</v>
      </c>
      <c r="F45" s="346">
        <f t="shared" si="2"/>
        <v>0.33333333333333337</v>
      </c>
      <c r="G45" s="347"/>
      <c r="H45" s="150">
        <f t="shared" si="3"/>
        <v>0</v>
      </c>
      <c r="I45" s="186" t="str">
        <f t="shared" si="1"/>
        <v/>
      </c>
      <c r="J45" s="5" t="str">
        <f t="shared" si="4"/>
        <v/>
      </c>
      <c r="K45" s="157" t="str">
        <f t="shared" si="5"/>
        <v/>
      </c>
      <c r="L45" s="158" t="str">
        <f t="shared" si="6"/>
        <v/>
      </c>
    </row>
    <row r="46" spans="1:14" ht="17.399999999999999" customHeight="1" x14ac:dyDescent="0.5">
      <c r="A46" s="55">
        <v>28</v>
      </c>
      <c r="B46" s="56" t="str">
        <f t="shared" si="0"/>
        <v>Sonntag</v>
      </c>
      <c r="C46" s="4">
        <v>0.35416666666666669</v>
      </c>
      <c r="D46" s="4">
        <v>0.70833333333333337</v>
      </c>
      <c r="E46" s="4">
        <v>2.0833333333333332E-2</v>
      </c>
      <c r="F46" s="346">
        <f t="shared" si="2"/>
        <v>0.33333333333333337</v>
      </c>
      <c r="G46" s="347"/>
      <c r="H46" s="150">
        <f t="shared" si="3"/>
        <v>0</v>
      </c>
      <c r="I46" s="186" t="str">
        <f t="shared" si="1"/>
        <v/>
      </c>
      <c r="J46" s="5" t="str">
        <f t="shared" si="4"/>
        <v/>
      </c>
      <c r="K46" s="157" t="str">
        <f>IF(AND(B46="Sonntag",SUM(I40:I46)&lt;SUM(J40:J46)),"-","")</f>
        <v/>
      </c>
      <c r="L46" s="158">
        <f>IF(B46="Sonntag",ABS(SUM(I40:I46)-SUM(J40:J46)),"")</f>
        <v>2.083333333333337E-2</v>
      </c>
    </row>
    <row r="47" spans="1:14" ht="17.399999999999999" customHeight="1" x14ac:dyDescent="0.5">
      <c r="A47" s="55">
        <v>29</v>
      </c>
      <c r="B47" s="56" t="str">
        <f t="shared" si="0"/>
        <v>Montag</v>
      </c>
      <c r="C47" s="4">
        <v>0.35416666666666669</v>
      </c>
      <c r="D47" s="4">
        <v>0.70833333333333337</v>
      </c>
      <c r="E47" s="4">
        <v>2.0833333333333332E-2</v>
      </c>
      <c r="F47" s="346">
        <f t="shared" si="2"/>
        <v>0.33333333333333337</v>
      </c>
      <c r="G47" s="347"/>
      <c r="H47" s="150">
        <f t="shared" si="3"/>
        <v>0.33333333333333331</v>
      </c>
      <c r="I47" s="186" t="str">
        <f>IF(OR(AND(F47&gt;H47,OR(B47&lt;&gt;"Samstag",H$56&gt;0),OR(B47&lt;&gt;"Sonntag",H$57&gt;0),AND(ISNONTEXT(C47),C47&lt;&gt;""))),F47-H47,"")</f>
        <v/>
      </c>
      <c r="J47" s="5" t="str">
        <f t="shared" si="4"/>
        <v/>
      </c>
      <c r="K47" s="157" t="str">
        <f>IF(AND(B47="Sonntag",SUM(I41:I47)&lt;SUM(J41:J47)),"-","")</f>
        <v/>
      </c>
      <c r="L47" s="158" t="str">
        <f>IF(B47="Sonntag",ABS(SUM(I41:I47)-SUM(J41:J47)),"")</f>
        <v/>
      </c>
    </row>
    <row r="48" spans="1:14" ht="17.399999999999999" customHeight="1" x14ac:dyDescent="0.5">
      <c r="A48" s="55">
        <v>30</v>
      </c>
      <c r="B48" s="56" t="str">
        <f t="shared" si="0"/>
        <v>Dienstag</v>
      </c>
      <c r="C48" s="4">
        <v>0.35416666666666669</v>
      </c>
      <c r="D48" s="4">
        <v>0.70833333333333337</v>
      </c>
      <c r="E48" s="4">
        <v>2.0833333333333332E-2</v>
      </c>
      <c r="F48" s="346">
        <f t="shared" si="2"/>
        <v>0.33333333333333337</v>
      </c>
      <c r="G48" s="347"/>
      <c r="H48" s="150">
        <f t="shared" si="3"/>
        <v>0.33333333333333331</v>
      </c>
      <c r="I48" s="186" t="str">
        <f t="shared" si="1"/>
        <v/>
      </c>
      <c r="J48" s="5" t="str">
        <f t="shared" si="4"/>
        <v/>
      </c>
      <c r="K48" s="157" t="str">
        <f>IF(AND(B48="Sonntag",SUM(I42:I48)&lt;SUM(J42:J48)),"-","")</f>
        <v/>
      </c>
      <c r="L48" s="158" t="str">
        <f>IF(B48="Sonntag",ABS(SUM(I42:I48)-SUM(J42:J48)),"")</f>
        <v/>
      </c>
    </row>
    <row r="49" spans="1:14" ht="17.399999999999999" customHeight="1" x14ac:dyDescent="0.5">
      <c r="A49" s="55">
        <v>31</v>
      </c>
      <c r="B49" s="56" t="str">
        <f t="shared" si="0"/>
        <v>Mittwoch</v>
      </c>
      <c r="C49" s="4">
        <v>0.35416666666666669</v>
      </c>
      <c r="D49" s="4">
        <v>0.70833333333333337</v>
      </c>
      <c r="E49" s="4">
        <v>2.0833333333333332E-2</v>
      </c>
      <c r="F49" s="348">
        <f t="shared" si="2"/>
        <v>0.33333333333333337</v>
      </c>
      <c r="G49" s="349"/>
      <c r="H49" s="150">
        <f t="shared" si="3"/>
        <v>0.33333333333333331</v>
      </c>
      <c r="I49" s="186" t="str">
        <f t="shared" si="1"/>
        <v/>
      </c>
      <c r="J49" s="5" t="str">
        <f t="shared" si="4"/>
        <v/>
      </c>
      <c r="K49" s="162" t="str">
        <f ca="1">IF(SUM(INDIRECT("I"&amp;ROW()-WEEKDAY(CONCATENATE(A49,".",I$11," ",J$11),3)):I49) &lt; SUM(INDIRECT("j"&amp;ROW()-WEEKDAY(CONCATENATE(A49,".",I$11," ",J$11),3)):J49),"-","")</f>
        <v/>
      </c>
      <c r="L49" s="11">
        <f ca="1">ABS(SUM(INDIRECT("I"&amp;ROW()-WEEKDAY(CONCATENATE(A49,".",I$11," ",J$11),3)):I49)-SUM(INDIRECT("j"&amp;ROW()-WEEKDAY(CONCATENATE(A49,".",I$11," ",J$11),3)):J49))</f>
        <v>0</v>
      </c>
    </row>
    <row r="50" spans="1:14" s="68" customFormat="1" ht="17.399999999999999" customHeight="1" thickBot="1" x14ac:dyDescent="0.5">
      <c r="A50" s="59" t="s">
        <v>64</v>
      </c>
      <c r="B50" s="60"/>
      <c r="C50" s="61"/>
      <c r="D50" s="62"/>
      <c r="E50" s="62"/>
      <c r="F50" s="62"/>
      <c r="G50" s="62"/>
      <c r="H50" s="63"/>
      <c r="I50" s="218">
        <v>0</v>
      </c>
      <c r="J50" s="218">
        <v>0</v>
      </c>
      <c r="K50" s="163"/>
      <c r="L50" s="164"/>
      <c r="M50" s="171"/>
      <c r="N50" s="171"/>
    </row>
    <row r="51" spans="1:14" x14ac:dyDescent="0.25">
      <c r="A51" s="350" t="s">
        <v>3</v>
      </c>
      <c r="B51" s="350"/>
      <c r="C51" s="350"/>
      <c r="D51" s="350"/>
      <c r="H51" s="69">
        <f>Mantelbogen!D19</f>
        <v>0.33333333333333331</v>
      </c>
      <c r="I51" s="351">
        <f>SUM(I17:I50)</f>
        <v>8.3333333333333481E-2</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Mantelbogen!D20</f>
        <v>0.33333333333333331</v>
      </c>
      <c r="I52" s="352"/>
      <c r="J52" s="352"/>
      <c r="K52" s="334"/>
      <c r="L52" s="336"/>
    </row>
    <row r="53" spans="1:14" x14ac:dyDescent="0.25">
      <c r="A53" s="339"/>
      <c r="B53" s="339"/>
      <c r="C53" s="339"/>
      <c r="D53" s="339"/>
      <c r="G53" s="71"/>
      <c r="H53" s="69">
        <f>Mantelbogen!D21</f>
        <v>0.33333333333333331</v>
      </c>
      <c r="I53" s="344">
        <f>IF(I51&gt;J51,I51-J51,0)</f>
        <v>8.3333333333333481E-2</v>
      </c>
      <c r="J53" s="342" t="str">
        <f>IF(J51&gt;I51,J51-I51,"")</f>
        <v/>
      </c>
      <c r="K53" s="226"/>
      <c r="L53" s="226"/>
    </row>
    <row r="54" spans="1:14" ht="13.5" thickBot="1" x14ac:dyDescent="0.35">
      <c r="A54" s="341" t="s">
        <v>15</v>
      </c>
      <c r="B54" s="341"/>
      <c r="C54" s="341"/>
      <c r="D54" s="341"/>
      <c r="E54" s="72"/>
      <c r="F54" s="72"/>
      <c r="G54" s="70" t="s">
        <v>13</v>
      </c>
      <c r="H54" s="69">
        <f>Mantelbogen!D22</f>
        <v>0.33333333333333331</v>
      </c>
      <c r="I54" s="345"/>
      <c r="J54" s="343"/>
      <c r="K54" s="226"/>
      <c r="L54" s="226"/>
    </row>
    <row r="55" spans="1:14" x14ac:dyDescent="0.25">
      <c r="A55" s="338" t="s">
        <v>4</v>
      </c>
      <c r="B55" s="338"/>
      <c r="C55" s="338"/>
      <c r="D55" s="338"/>
      <c r="E55" s="72"/>
      <c r="F55" s="72"/>
      <c r="G55" s="72"/>
      <c r="H55" s="69">
        <f>Mantelbogen!D23</f>
        <v>0.3125</v>
      </c>
      <c r="I55" s="72"/>
      <c r="J55" s="72"/>
      <c r="K55" s="170"/>
      <c r="L55" s="170"/>
    </row>
    <row r="56" spans="1:14" ht="13.25" customHeight="1" x14ac:dyDescent="0.25">
      <c r="A56" s="339"/>
      <c r="B56" s="339"/>
      <c r="C56" s="339"/>
      <c r="D56" s="339"/>
      <c r="E56" s="255" t="str">
        <f>Mantelbogen!E34</f>
        <v xml:space="preserve"> </v>
      </c>
      <c r="F56" s="256"/>
      <c r="G56" s="253" t="str">
        <f>IF(E56=" ", " ", IF(Mantelbogen!D26=I11,IF(Mantelbogen!C29 &gt; 0.0001, Mantelbogen!C29+Mantelbogen!C30, 0), 0))</f>
        <v xml:space="preserve"> </v>
      </c>
      <c r="H56" s="187">
        <v>0</v>
      </c>
      <c r="I56" s="340" t="s">
        <v>129</v>
      </c>
      <c r="J56" s="340"/>
      <c r="K56" s="170"/>
      <c r="L56" s="170"/>
    </row>
    <row r="57" spans="1:14" ht="13" thickBot="1" x14ac:dyDescent="0.3">
      <c r="A57" s="339"/>
      <c r="B57" s="339"/>
      <c r="C57" s="339"/>
      <c r="D57" s="339"/>
      <c r="E57" s="255" t="str">
        <f>Mantelbogen!E35</f>
        <v xml:space="preserve"> </v>
      </c>
      <c r="F57" s="253"/>
      <c r="G57" s="253" t="str">
        <f>IF(E56=" ", " ", -COUNTIF(C19:C49, "Urlaub*" ))</f>
        <v xml:space="preserve"> </v>
      </c>
      <c r="H57" s="187">
        <v>0</v>
      </c>
      <c r="I57" s="340"/>
      <c r="J57" s="340"/>
      <c r="K57" s="170"/>
      <c r="L57" s="227"/>
      <c r="M57" s="172"/>
    </row>
    <row r="58" spans="1:14" ht="22" customHeight="1" thickBot="1" x14ac:dyDescent="0.3">
      <c r="A58" s="341" t="s">
        <v>10</v>
      </c>
      <c r="B58" s="341"/>
      <c r="C58" s="341"/>
      <c r="D58" s="341"/>
      <c r="E58" s="255" t="str">
        <f>Mantelbogen!E37</f>
        <v xml:space="preserve"> </v>
      </c>
      <c r="F58" s="257"/>
      <c r="G58" s="254" t="str">
        <f>IF(E56=" ", " ", IF(Mantelbogen!C29 &gt; 0.0001, G56+G57, 0))</f>
        <v xml:space="preserve"> </v>
      </c>
      <c r="H58" s="165">
        <f>SUM(H51:H57)</f>
        <v>1.6458333333333333</v>
      </c>
      <c r="I58" s="340"/>
      <c r="J58" s="340"/>
      <c r="L58" s="188" t="str">
        <f>Mantelbogen!D47</f>
        <v>04.12.2023  HAdW / G. Wolff</v>
      </c>
      <c r="M58" s="172"/>
    </row>
    <row r="59" spans="1:14" x14ac:dyDescent="0.25">
      <c r="F59" s="77"/>
    </row>
    <row r="60" spans="1:14" x14ac:dyDescent="0.25">
      <c r="G60" s="337"/>
      <c r="H60" s="337"/>
      <c r="I60" s="337"/>
      <c r="J60" s="74"/>
    </row>
  </sheetData>
  <sheetProtection password="9BC9" sheet="1" objects="1" scenarios="1"/>
  <mergeCells count="63">
    <mergeCell ref="A11:B11"/>
    <mergeCell ref="A13:B13"/>
    <mergeCell ref="A15:A18"/>
    <mergeCell ref="B15:B18"/>
    <mergeCell ref="G1:J7"/>
    <mergeCell ref="C3:D3"/>
    <mergeCell ref="A4:E6"/>
    <mergeCell ref="H15:H18"/>
    <mergeCell ref="C15:C18"/>
    <mergeCell ref="D15:D18"/>
    <mergeCell ref="E15:E18"/>
    <mergeCell ref="F15:G18"/>
    <mergeCell ref="I15:J15"/>
    <mergeCell ref="I17:I18"/>
    <mergeCell ref="J17:J18"/>
    <mergeCell ref="F19:G19"/>
    <mergeCell ref="F20:G20"/>
    <mergeCell ref="F22:G22"/>
    <mergeCell ref="F23:G23"/>
    <mergeCell ref="F21:G21"/>
    <mergeCell ref="F26:G26"/>
    <mergeCell ref="F24:G24"/>
    <mergeCell ref="F25:G25"/>
    <mergeCell ref="F37:G37"/>
    <mergeCell ref="F38:G38"/>
    <mergeCell ref="F27:G27"/>
    <mergeCell ref="F31:G31"/>
    <mergeCell ref="F28:G28"/>
    <mergeCell ref="F29:G29"/>
    <mergeCell ref="F30:G30"/>
    <mergeCell ref="F39:G39"/>
    <mergeCell ref="F32:G32"/>
    <mergeCell ref="F33:G33"/>
    <mergeCell ref="F34:G34"/>
    <mergeCell ref="F35:G35"/>
    <mergeCell ref="F36:G36"/>
    <mergeCell ref="F44:G44"/>
    <mergeCell ref="F45:G45"/>
    <mergeCell ref="F46:G46"/>
    <mergeCell ref="F47:G47"/>
    <mergeCell ref="F40:G40"/>
    <mergeCell ref="F41:G41"/>
    <mergeCell ref="F42:G42"/>
    <mergeCell ref="F43:G43"/>
    <mergeCell ref="J53:J54"/>
    <mergeCell ref="I53:I54"/>
    <mergeCell ref="F48:G48"/>
    <mergeCell ref="F49:G49"/>
    <mergeCell ref="A51:D51"/>
    <mergeCell ref="I51:I52"/>
    <mergeCell ref="J51:J52"/>
    <mergeCell ref="A52:D53"/>
    <mergeCell ref="A54:D54"/>
    <mergeCell ref="G60:I60"/>
    <mergeCell ref="A55:D55"/>
    <mergeCell ref="A56:D57"/>
    <mergeCell ref="I56:J58"/>
    <mergeCell ref="A58:D58"/>
    <mergeCell ref="M15:M16"/>
    <mergeCell ref="K15:L16"/>
    <mergeCell ref="K17:L18"/>
    <mergeCell ref="K51:K52"/>
    <mergeCell ref="L51:L52"/>
  </mergeCells>
  <phoneticPr fontId="0" type="noConversion"/>
  <conditionalFormatting sqref="A19:L49">
    <cfRule type="expression" dxfId="83" priority="1">
      <formula>OR($B19="Samstag", $B19="Sonntag", NOT( ISERROR(FIND("feiertag",LOWER($C19)) ) ) )</formula>
    </cfRule>
  </conditionalFormatting>
  <conditionalFormatting sqref="C19:J49">
    <cfRule type="expression" dxfId="82" priority="3">
      <formula>OR(AND($B19="Samstag", $H$56&lt;0.00001),AND($B19="Sonntag", $H$57&lt;0.00001))</formula>
    </cfRule>
  </conditionalFormatting>
  <conditionalFormatting sqref="C19:C49">
    <cfRule type="expression" dxfId="81" priority="2">
      <formula>ISTEXT($C19)</formula>
    </cfRule>
  </conditionalFormatting>
  <conditionalFormatting sqref="E19:E49">
    <cfRule type="expression" dxfId="80" priority="11">
      <formula>AND(ISNONTEXT($C19), OR(AND($F19 &gt; 0.250001, $E19 &lt; 0.020833332), AND($F19 &gt; 0.375, $E19 &lt; 0.03124999)  ) )</formula>
    </cfRule>
  </conditionalFormatting>
  <conditionalFormatting sqref="F19:F49">
    <cfRule type="expression" dxfId="79" priority="12">
      <formula>AND(ISNONTEXT($C19),$F19 &gt; 0.666667)</formula>
    </cfRule>
  </conditionalFormatting>
  <conditionalFormatting sqref="C19:I49">
    <cfRule type="expression" dxfId="78" priority="4">
      <formula>AND($B19="Samstag", $H$56&gt;0.00001)</formula>
    </cfRule>
    <cfRule type="expression" dxfId="77" priority="10">
      <formula>AND($B19="Sonntag", $H$57&gt;0.00001)</formula>
    </cfRule>
  </conditionalFormatting>
  <printOptions horizontalCentered="1" verticalCentered="1"/>
  <pageMargins left="1.0236220472440944" right="0.10616666666666667" top="0.23622047244094491" bottom="0.19685039370078741" header="0.15748031496062992" footer="0.15748031496062992"/>
  <pageSetup paperSize="9" scale="83"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N62"/>
  <sheetViews>
    <sheetView topLeftCell="A7" zoomScaleNormal="100" workbookViewId="0">
      <selection activeCell="N36" sqref="N36"/>
    </sheetView>
  </sheetViews>
  <sheetFormatPr defaultColWidth="11.54296875" defaultRowHeight="12.5" x14ac:dyDescent="0.25"/>
  <cols>
    <col min="1" max="1" width="5.54296875" style="20" customWidth="1"/>
    <col min="2" max="2" width="9.08984375" style="21" customWidth="1"/>
    <col min="3" max="3" width="9.6328125" style="21" customWidth="1"/>
    <col min="4" max="4" width="9.1796875" style="21" customWidth="1"/>
    <col min="5" max="5" width="8.54296875" style="18" customWidth="1"/>
    <col min="6" max="6" width="8.08984375" style="18" customWidth="1"/>
    <col min="7" max="7" width="3.90625" style="18" customWidth="1"/>
    <col min="8" max="8" width="8.453125" style="18" customWidth="1"/>
    <col min="9" max="9" width="9.81640625" style="18" customWidth="1"/>
    <col min="10" max="10" width="10.36328125" style="18" customWidth="1"/>
    <col min="11" max="11" width="2.90625" style="18" customWidth="1"/>
    <col min="12" max="12" width="8.90625" style="18" customWidth="1"/>
    <col min="13" max="13" width="16.36328125" style="170" customWidth="1"/>
    <col min="14" max="14" width="18.1796875" style="170" customWidth="1"/>
    <col min="15" max="16384" width="11.54296875" style="18"/>
  </cols>
  <sheetData>
    <row r="1" spans="1:14" ht="15.5" x14ac:dyDescent="0.35">
      <c r="A1" s="15" t="s">
        <v>70</v>
      </c>
      <c r="B1" s="16"/>
      <c r="C1" s="16"/>
      <c r="D1" s="16"/>
      <c r="E1" s="16"/>
      <c r="F1" s="17"/>
      <c r="G1" s="359" t="s">
        <v>9</v>
      </c>
      <c r="H1" s="359"/>
      <c r="I1" s="359"/>
      <c r="J1" s="359"/>
    </row>
    <row r="2" spans="1:14" ht="15.5" x14ac:dyDescent="0.35">
      <c r="A2" s="16"/>
      <c r="B2" s="16"/>
      <c r="C2" s="16"/>
      <c r="D2" s="16"/>
      <c r="E2" s="16"/>
      <c r="F2" s="19"/>
      <c r="G2" s="359"/>
      <c r="H2" s="359"/>
      <c r="I2" s="359"/>
      <c r="J2" s="359"/>
    </row>
    <row r="3" spans="1:14" x14ac:dyDescent="0.25">
      <c r="C3" s="370" t="s">
        <v>11</v>
      </c>
      <c r="D3" s="360"/>
      <c r="G3" s="359"/>
      <c r="H3" s="359"/>
      <c r="I3" s="359"/>
      <c r="J3" s="359"/>
    </row>
    <row r="4" spans="1:14" ht="13.25" customHeight="1" x14ac:dyDescent="0.25">
      <c r="A4" s="361" t="s">
        <v>71</v>
      </c>
      <c r="B4" s="361"/>
      <c r="C4" s="361"/>
      <c r="D4" s="361"/>
      <c r="E4" s="361"/>
      <c r="F4" s="22"/>
      <c r="G4" s="359"/>
      <c r="H4" s="359"/>
      <c r="I4" s="359"/>
      <c r="J4" s="359"/>
    </row>
    <row r="5" spans="1:14" ht="6" customHeight="1" x14ac:dyDescent="0.25">
      <c r="A5" s="361"/>
      <c r="B5" s="361"/>
      <c r="C5" s="361"/>
      <c r="D5" s="361"/>
      <c r="E5" s="361"/>
      <c r="F5" s="22"/>
      <c r="G5" s="359"/>
      <c r="H5" s="359"/>
      <c r="I5" s="359"/>
      <c r="J5" s="359"/>
    </row>
    <row r="6" spans="1:14" ht="13.25" customHeight="1" x14ac:dyDescent="0.25">
      <c r="A6" s="361"/>
      <c r="B6" s="361"/>
      <c r="C6" s="361"/>
      <c r="D6" s="361"/>
      <c r="E6" s="361"/>
      <c r="F6" s="22"/>
      <c r="G6" s="359"/>
      <c r="H6" s="359"/>
      <c r="I6" s="359"/>
      <c r="J6" s="359"/>
    </row>
    <row r="7" spans="1:14" ht="13.25" customHeight="1" x14ac:dyDescent="0.25">
      <c r="A7" s="22"/>
      <c r="B7" s="22"/>
      <c r="C7" s="22"/>
      <c r="D7" s="22"/>
      <c r="E7" s="22"/>
      <c r="F7" s="22"/>
      <c r="G7" s="359"/>
      <c r="H7" s="359"/>
      <c r="I7" s="359"/>
      <c r="J7" s="359"/>
    </row>
    <row r="8" spans="1:14" ht="6" customHeight="1" thickBot="1" x14ac:dyDescent="0.3">
      <c r="A8" s="23"/>
      <c r="B8" s="24"/>
      <c r="C8" s="24"/>
      <c r="D8" s="24"/>
      <c r="E8" s="25"/>
      <c r="F8" s="25"/>
      <c r="G8" s="25"/>
      <c r="H8" s="31"/>
      <c r="I8" s="26"/>
      <c r="J8" s="26"/>
      <c r="K8" s="27"/>
      <c r="L8" s="28"/>
    </row>
    <row r="9" spans="1:14" ht="6" customHeight="1" x14ac:dyDescent="0.25">
      <c r="A9" s="29"/>
      <c r="B9" s="30"/>
      <c r="C9" s="30"/>
      <c r="D9" s="30"/>
      <c r="E9" s="31"/>
      <c r="F9" s="31"/>
      <c r="G9" s="31"/>
      <c r="H9" s="179"/>
      <c r="I9" s="32"/>
      <c r="J9" s="32"/>
      <c r="K9" s="33"/>
      <c r="L9" s="34"/>
    </row>
    <row r="10" spans="1:14" x14ac:dyDescent="0.25">
      <c r="A10" s="29"/>
      <c r="B10" s="30"/>
      <c r="C10" s="30"/>
      <c r="D10" s="30"/>
      <c r="E10" s="31"/>
      <c r="F10" s="31"/>
      <c r="G10" s="31"/>
      <c r="I10" s="32"/>
      <c r="J10" s="32"/>
      <c r="K10" s="33"/>
      <c r="L10" s="34"/>
    </row>
    <row r="11" spans="1:14" x14ac:dyDescent="0.25">
      <c r="A11" s="357" t="s">
        <v>6</v>
      </c>
      <c r="B11" s="357"/>
      <c r="C11" s="41" t="str">
        <f>Jan!C11</f>
        <v>ATHENE, Pallas</v>
      </c>
      <c r="D11" s="36"/>
      <c r="E11" s="37"/>
      <c r="F11" s="38"/>
      <c r="G11" s="38" t="s">
        <v>8</v>
      </c>
      <c r="H11" s="39"/>
      <c r="I11" s="75" t="s">
        <v>27</v>
      </c>
      <c r="J11" s="41">
        <f>Jan!J11</f>
        <v>2024</v>
      </c>
      <c r="K11" s="42"/>
      <c r="L11" s="43"/>
    </row>
    <row r="12" spans="1:14" x14ac:dyDescent="0.25">
      <c r="B12" s="34"/>
      <c r="C12" s="44"/>
      <c r="D12" s="45"/>
      <c r="E12" s="38"/>
      <c r="F12" s="38"/>
      <c r="G12" s="31"/>
      <c r="I12" s="32"/>
      <c r="J12" s="32"/>
      <c r="K12" s="33"/>
      <c r="L12" s="34"/>
    </row>
    <row r="13" spans="1:14" x14ac:dyDescent="0.25">
      <c r="A13" s="357" t="s">
        <v>7</v>
      </c>
      <c r="B13" s="357"/>
      <c r="C13" s="41" t="str">
        <f>Jan!C13</f>
        <v>Geschäftsstelle</v>
      </c>
      <c r="D13" s="50"/>
      <c r="E13" s="37"/>
      <c r="F13" s="51"/>
      <c r="G13" s="51"/>
      <c r="H13" s="39"/>
      <c r="I13" s="36"/>
      <c r="J13" s="37"/>
      <c r="K13" s="42"/>
      <c r="L13" s="43"/>
    </row>
    <row r="14" spans="1:14" ht="13.25" customHeight="1" thickBot="1" x14ac:dyDescent="0.3">
      <c r="K14" s="33"/>
      <c r="L14" s="34"/>
    </row>
    <row r="15" spans="1:14" ht="13.25" customHeight="1" x14ac:dyDescent="0.25">
      <c r="A15" s="358"/>
      <c r="B15" s="358" t="s">
        <v>101</v>
      </c>
      <c r="C15" s="358" t="s">
        <v>28</v>
      </c>
      <c r="D15" s="358" t="s">
        <v>29</v>
      </c>
      <c r="E15" s="358" t="s">
        <v>16</v>
      </c>
      <c r="F15" s="365" t="s">
        <v>61</v>
      </c>
      <c r="G15" s="365"/>
      <c r="H15" s="362" t="s">
        <v>62</v>
      </c>
      <c r="I15" s="367" t="s">
        <v>0</v>
      </c>
      <c r="J15" s="367"/>
      <c r="K15" s="325" t="s">
        <v>60</v>
      </c>
      <c r="L15" s="326"/>
    </row>
    <row r="16" spans="1:14" ht="13.75" customHeight="1" thickBot="1" x14ac:dyDescent="0.4">
      <c r="A16" s="358"/>
      <c r="B16" s="358"/>
      <c r="C16" s="358"/>
      <c r="D16" s="358"/>
      <c r="E16" s="358"/>
      <c r="F16" s="365"/>
      <c r="G16" s="365"/>
      <c r="H16" s="363"/>
      <c r="I16" s="54" t="s">
        <v>1</v>
      </c>
      <c r="J16" s="54" t="s">
        <v>2</v>
      </c>
      <c r="K16" s="327"/>
      <c r="L16" s="328"/>
      <c r="N16" s="294" t="str">
        <f>IF($I$17/$H$58 &gt; 1, CONCATENATE("Noch ",TEXT(($I$17-$H$58)*24,"#,0")), "" )</f>
        <v/>
      </c>
    </row>
    <row r="17" spans="1:14" ht="13" customHeight="1" thickBot="1" x14ac:dyDescent="0.35">
      <c r="A17" s="358"/>
      <c r="B17" s="358"/>
      <c r="C17" s="358"/>
      <c r="D17" s="358"/>
      <c r="E17" s="358"/>
      <c r="F17" s="365"/>
      <c r="G17" s="365"/>
      <c r="H17" s="363"/>
      <c r="I17" s="368">
        <f>IF(Mantelbogen!D26=I11,Mantelbogen!C28,Jan!I53)</f>
        <v>8.3333333333333481E-2</v>
      </c>
      <c r="J17" s="369" t="str">
        <f>IF(Mantelbogen!D26=I11,Mantelbogen!D28,Jan!J53)</f>
        <v/>
      </c>
      <c r="K17" s="329" t="str">
        <f>IF(I17/H58 &gt; 1, I17/H58, " " )</f>
        <v xml:space="preserve"> </v>
      </c>
      <c r="L17" s="330"/>
      <c r="N17" s="295" t="str">
        <f>IF($I$17/$H$58 &gt; 1, "Überstunden", " " )</f>
        <v xml:space="preserve"> </v>
      </c>
    </row>
    <row r="18" spans="1:14" ht="13.5" thickBot="1" x14ac:dyDescent="0.35">
      <c r="A18" s="358"/>
      <c r="B18" s="358"/>
      <c r="C18" s="358"/>
      <c r="D18" s="358"/>
      <c r="E18" s="358"/>
      <c r="F18" s="365"/>
      <c r="G18" s="365"/>
      <c r="H18" s="364"/>
      <c r="I18" s="368"/>
      <c r="J18" s="369"/>
      <c r="K18" s="331"/>
      <c r="L18" s="332"/>
      <c r="N18" s="295" t="str">
        <f>IF($I$17/$H$58 &gt; 1, "bis 01.04. abzubauen !", " " )</f>
        <v xml:space="preserve"> </v>
      </c>
    </row>
    <row r="19" spans="1:14" ht="17.399999999999999" customHeight="1" x14ac:dyDescent="0.25">
      <c r="A19" s="55">
        <v>1</v>
      </c>
      <c r="B19" s="56" t="str">
        <f>TEXT(CONCATENATE(A19,".",I$11," ", J$11), "TTTT")</f>
        <v>Donnerstag</v>
      </c>
      <c r="C19" s="4">
        <v>0.35416666666666669</v>
      </c>
      <c r="D19" s="4">
        <v>0.70833333333333337</v>
      </c>
      <c r="E19" s="4">
        <v>2.0833333333333332E-2</v>
      </c>
      <c r="F19" s="346">
        <f t="shared" ref="F19" si="0">IF(OR(ISTEXT(C19),ISBLANK(C19)),"",D19-C19-E19)</f>
        <v>0.33333333333333337</v>
      </c>
      <c r="G19" s="347"/>
      <c r="H19" s="212">
        <f t="shared" ref="H19:H47" si="1">IF(AND(OR(ISTEXT(C19),ISBLANK(C19)),ISERR(SEARCH("ausgleich",C19,1))),"",INDEX(H$51:H$58,WEEKDAY(CONCATENATE(A19,".",I$11," ",J$11),2),1,1))</f>
        <v>0.33333333333333331</v>
      </c>
      <c r="I19" s="195" t="str">
        <f t="shared" ref="I19:I47" si="2">IF(OR(AND(F19&gt;H19,OR(B19&lt;&gt;"Samstag",H$56&gt;0),OR(B19&lt;&gt;"Sonntag",H$57&gt;0),AND(ISNONTEXT(C19),C19&lt;&gt;""))),F19-H19,"")</f>
        <v/>
      </c>
      <c r="J19" s="5" t="str">
        <f>IF(AND(F19&lt;H19,B19&lt;&gt;"Samstag",B19&lt;&gt;"Sonntag",ISNONTEXT(C19)),H19-F19,"")</f>
        <v/>
      </c>
      <c r="K19" s="6" t="str">
        <f>IF(AND(B19="Sonntag",SUM(I19:I19)&lt;SUM(J19:J19)),"-","")</f>
        <v/>
      </c>
      <c r="L19" s="7" t="str">
        <f>IF(B19="Sonntag",ABS(SUM(I19:I19)-SUM(J19:J19)),"")</f>
        <v/>
      </c>
    </row>
    <row r="20" spans="1:14" ht="17.399999999999999" customHeight="1" x14ac:dyDescent="0.25">
      <c r="A20" s="55">
        <v>2</v>
      </c>
      <c r="B20" s="56" t="str">
        <f t="shared" ref="B20:B46" si="3">TEXT(CONCATENATE(A20,".",I$11," ", J$11), "TTTT")</f>
        <v>Freitag</v>
      </c>
      <c r="C20" s="4">
        <v>0.35416666666666669</v>
      </c>
      <c r="D20" s="4">
        <v>0.70833333333333337</v>
      </c>
      <c r="E20" s="4">
        <v>2.0833333333333332E-2</v>
      </c>
      <c r="F20" s="346">
        <f t="shared" ref="F20:F46" si="4">IF(OR(ISTEXT(C20),ISBLANK(C20)),"",D20-C20-E20)</f>
        <v>0.33333333333333337</v>
      </c>
      <c r="G20" s="347"/>
      <c r="H20" s="212">
        <f t="shared" si="1"/>
        <v>0.3125</v>
      </c>
      <c r="I20" s="195">
        <f t="shared" si="2"/>
        <v>2.083333333333337E-2</v>
      </c>
      <c r="J20" s="5" t="str">
        <f>IF(AND(F20&lt;H20,B20&lt;&gt;"Samstag",B20&lt;&gt;"Sonntag",ISNONTEXT(C20)),H20-F20,"")</f>
        <v/>
      </c>
      <c r="K20" s="8" t="str">
        <f>IF(AND(B20="Sonntag",SUM(I19:I20)&lt;SUM(J19:J20)),"-","")</f>
        <v/>
      </c>
      <c r="L20" s="9" t="str">
        <f>IF(B20="Sonntag",ABS(SUM(I19:I20)-SUM(J19:J20)),"")</f>
        <v/>
      </c>
    </row>
    <row r="21" spans="1:14" ht="17.399999999999999" customHeight="1" x14ac:dyDescent="0.25">
      <c r="A21" s="55">
        <v>3</v>
      </c>
      <c r="B21" s="56" t="str">
        <f t="shared" si="3"/>
        <v>Samstag</v>
      </c>
      <c r="C21" s="4">
        <v>0.35416666666666669</v>
      </c>
      <c r="D21" s="4">
        <v>0.70833333333333337</v>
      </c>
      <c r="E21" s="4">
        <v>2.0833333333333332E-2</v>
      </c>
      <c r="F21" s="346">
        <f t="shared" si="4"/>
        <v>0.33333333333333337</v>
      </c>
      <c r="G21" s="347"/>
      <c r="H21" s="212">
        <f t="shared" si="1"/>
        <v>0</v>
      </c>
      <c r="I21" s="195" t="str">
        <f t="shared" si="2"/>
        <v/>
      </c>
      <c r="J21" s="5" t="str">
        <f>IF(NOT(ISERR(SEARCH("ausgleich",C21,1))),H21, IF(AND(F21&lt;H21,B21&lt;&gt;"Samstag",B21&lt;&gt;"Sonntag",ISNONTEXT(C21)),H21-F21,""))</f>
        <v/>
      </c>
      <c r="K21" s="8" t="str">
        <f>IF(AND(B21="Sonntag",SUM(I19:I21)&lt;SUM(J19:J21)),"-","")</f>
        <v/>
      </c>
      <c r="L21" s="9" t="str">
        <f>IF(B21="Sonntag",ABS(SUM(I19:I21)-SUM(J19:J21)),"")</f>
        <v/>
      </c>
    </row>
    <row r="22" spans="1:14" ht="17.399999999999999" customHeight="1" x14ac:dyDescent="0.25">
      <c r="A22" s="55">
        <v>4</v>
      </c>
      <c r="B22" s="56" t="str">
        <f t="shared" si="3"/>
        <v>Sonntag</v>
      </c>
      <c r="C22" s="4">
        <v>0.35416666666666669</v>
      </c>
      <c r="D22" s="4">
        <v>0.70833333333333337</v>
      </c>
      <c r="E22" s="4">
        <v>2.0833333333333332E-2</v>
      </c>
      <c r="F22" s="346">
        <f t="shared" si="4"/>
        <v>0.33333333333333337</v>
      </c>
      <c r="G22" s="347"/>
      <c r="H22" s="212">
        <f t="shared" si="1"/>
        <v>0</v>
      </c>
      <c r="I22" s="195" t="str">
        <f t="shared" si="2"/>
        <v/>
      </c>
      <c r="J22" s="5" t="str">
        <f t="shared" ref="J22:J47" si="5">IF(NOT(ISERR(SEARCH("ausgleich",C22,1))),H22, IF(AND(F22&lt;H22,B22&lt;&gt;"Samstag",B22&lt;&gt;"Sonntag",ISNONTEXT(C22)),H22-F22,""))</f>
        <v/>
      </c>
      <c r="K22" s="8" t="str">
        <f>IF(AND(B22="Sonntag",SUM(I19:I22)&lt;SUM(J19:J22)),"-","")</f>
        <v/>
      </c>
      <c r="L22" s="9">
        <f>IF(B22="Sonntag",ABS(SUM(I19:I22)-SUM(J19:J22)),"")</f>
        <v>2.083333333333337E-2</v>
      </c>
    </row>
    <row r="23" spans="1:14" ht="17.399999999999999" customHeight="1" x14ac:dyDescent="0.25">
      <c r="A23" s="55">
        <v>5</v>
      </c>
      <c r="B23" s="56" t="str">
        <f t="shared" si="3"/>
        <v>Montag</v>
      </c>
      <c r="C23" s="4">
        <v>0.35416666666666669</v>
      </c>
      <c r="D23" s="4">
        <v>0.70833333333333337</v>
      </c>
      <c r="E23" s="4">
        <v>2.0833333333333332E-2</v>
      </c>
      <c r="F23" s="346">
        <f t="shared" si="4"/>
        <v>0.33333333333333337</v>
      </c>
      <c r="G23" s="347"/>
      <c r="H23" s="212">
        <f t="shared" si="1"/>
        <v>0.33333333333333331</v>
      </c>
      <c r="I23" s="195" t="str">
        <f t="shared" si="2"/>
        <v/>
      </c>
      <c r="J23" s="5" t="str">
        <f t="shared" si="5"/>
        <v/>
      </c>
      <c r="K23" s="8" t="str">
        <f>IF(AND(B23="Sonntag",SUM(I19:I23)&lt;SUM(J19:J23)),"-","")</f>
        <v/>
      </c>
      <c r="L23" s="9" t="str">
        <f>IF(B23="Sonntag",ABS(SUM(I19:I23)-SUM(J19:J23)),"")</f>
        <v/>
      </c>
    </row>
    <row r="24" spans="1:14" ht="17.399999999999999" customHeight="1" x14ac:dyDescent="0.25">
      <c r="A24" s="55">
        <v>6</v>
      </c>
      <c r="B24" s="56" t="str">
        <f t="shared" si="3"/>
        <v>Dienstag</v>
      </c>
      <c r="C24" s="4">
        <v>0.35416666666666669</v>
      </c>
      <c r="D24" s="4">
        <v>0.70833333333333337</v>
      </c>
      <c r="E24" s="4">
        <v>2.0833333333333332E-2</v>
      </c>
      <c r="F24" s="346">
        <f t="shared" si="4"/>
        <v>0.33333333333333337</v>
      </c>
      <c r="G24" s="347"/>
      <c r="H24" s="212">
        <f t="shared" si="1"/>
        <v>0.33333333333333331</v>
      </c>
      <c r="I24" s="195" t="str">
        <f t="shared" si="2"/>
        <v/>
      </c>
      <c r="J24" s="5" t="str">
        <f t="shared" si="5"/>
        <v/>
      </c>
      <c r="K24" s="8" t="str">
        <f>IF(AND(B24="Sonntag",SUM(I19:I24)&lt;SUM(J19:J24)),"-","")</f>
        <v/>
      </c>
      <c r="L24" s="9" t="str">
        <f>IF(B24="Sonntag",ABS(SUM(I19:I24)-SUM(J19:J24)),"")</f>
        <v/>
      </c>
    </row>
    <row r="25" spans="1:14" ht="17.399999999999999" customHeight="1" x14ac:dyDescent="0.25">
      <c r="A25" s="55">
        <v>7</v>
      </c>
      <c r="B25" s="56" t="str">
        <f t="shared" si="3"/>
        <v>Mittwoch</v>
      </c>
      <c r="C25" s="4">
        <v>0.35416666666666669</v>
      </c>
      <c r="D25" s="4">
        <v>0.70833333333333337</v>
      </c>
      <c r="E25" s="4">
        <v>2.0833333333333332E-2</v>
      </c>
      <c r="F25" s="346">
        <f t="shared" si="4"/>
        <v>0.33333333333333337</v>
      </c>
      <c r="G25" s="347"/>
      <c r="H25" s="212">
        <f t="shared" si="1"/>
        <v>0.33333333333333331</v>
      </c>
      <c r="I25" s="195" t="str">
        <f t="shared" si="2"/>
        <v/>
      </c>
      <c r="J25" s="5" t="str">
        <f t="shared" si="5"/>
        <v/>
      </c>
      <c r="K25" s="8" t="str">
        <f>IF(AND(B25="Sonntag",SUM(I19:I25)&lt;SUM(J19:J25)),"-","")</f>
        <v/>
      </c>
      <c r="L25" s="9" t="str">
        <f>IF(B25="Sonntag",ABS(SUM(I19:I25)-SUM(J19:J25)),"")</f>
        <v/>
      </c>
    </row>
    <row r="26" spans="1:14" ht="17.399999999999999" customHeight="1" x14ac:dyDescent="0.25">
      <c r="A26" s="55">
        <v>8</v>
      </c>
      <c r="B26" s="56" t="str">
        <f t="shared" si="3"/>
        <v>Donnerstag</v>
      </c>
      <c r="C26" s="4">
        <v>0.35416666666666669</v>
      </c>
      <c r="D26" s="4">
        <v>0.70833333333333337</v>
      </c>
      <c r="E26" s="4">
        <v>2.0833333333333332E-2</v>
      </c>
      <c r="F26" s="346">
        <f t="shared" si="4"/>
        <v>0.33333333333333337</v>
      </c>
      <c r="G26" s="347"/>
      <c r="H26" s="212">
        <f t="shared" si="1"/>
        <v>0.33333333333333331</v>
      </c>
      <c r="I26" s="195" t="str">
        <f t="shared" si="2"/>
        <v/>
      </c>
      <c r="J26" s="5" t="str">
        <f t="shared" si="5"/>
        <v/>
      </c>
      <c r="K26" s="8" t="str">
        <f>IF(AND(B26="Sonntag",SUM(I20:I26)&lt;SUM(J20:J26)),"-","")</f>
        <v/>
      </c>
      <c r="L26" s="9" t="str">
        <f>IF(B26="Sonntag",ABS(SUM(I20:I26)-SUM(J20:J26)),"")</f>
        <v/>
      </c>
    </row>
    <row r="27" spans="1:14" ht="17.399999999999999" customHeight="1" x14ac:dyDescent="0.25">
      <c r="A27" s="55">
        <v>9</v>
      </c>
      <c r="B27" s="56" t="str">
        <f t="shared" si="3"/>
        <v>Freitag</v>
      </c>
      <c r="C27" s="4">
        <v>0.35416666666666669</v>
      </c>
      <c r="D27" s="4">
        <v>0.70833333333333337</v>
      </c>
      <c r="E27" s="4">
        <v>2.0833333333333332E-2</v>
      </c>
      <c r="F27" s="346">
        <f t="shared" si="4"/>
        <v>0.33333333333333337</v>
      </c>
      <c r="G27" s="347"/>
      <c r="H27" s="212">
        <f t="shared" si="1"/>
        <v>0.3125</v>
      </c>
      <c r="I27" s="195">
        <f t="shared" si="2"/>
        <v>2.083333333333337E-2</v>
      </c>
      <c r="J27" s="5" t="str">
        <f t="shared" si="5"/>
        <v/>
      </c>
      <c r="K27" s="8" t="str">
        <f>IF(AND(B27="Sonntag",SUM(I21:I27)&lt;SUM(J21:J27)),"-","")</f>
        <v/>
      </c>
      <c r="L27" s="9" t="str">
        <f>IF(B27="Sonntag",ABS(SUM(I21:I27)-SUM(J21:J27)),"")</f>
        <v/>
      </c>
    </row>
    <row r="28" spans="1:14" ht="17.399999999999999" customHeight="1" x14ac:dyDescent="0.25">
      <c r="A28" s="55">
        <v>10</v>
      </c>
      <c r="B28" s="56" t="str">
        <f t="shared" si="3"/>
        <v>Samstag</v>
      </c>
      <c r="C28" s="4">
        <v>0.35416666666666669</v>
      </c>
      <c r="D28" s="4">
        <v>0.70833333333333337</v>
      </c>
      <c r="E28" s="4">
        <v>2.0833333333333332E-2</v>
      </c>
      <c r="F28" s="346">
        <f t="shared" si="4"/>
        <v>0.33333333333333337</v>
      </c>
      <c r="G28" s="347"/>
      <c r="H28" s="212">
        <f t="shared" si="1"/>
        <v>0</v>
      </c>
      <c r="I28" s="195" t="str">
        <f t="shared" si="2"/>
        <v/>
      </c>
      <c r="J28" s="5" t="str">
        <f t="shared" si="5"/>
        <v/>
      </c>
      <c r="K28" s="8" t="str">
        <f t="shared" ref="K28:K49" si="6">IF(AND(B28="Sonntag",SUM(I22:I28)&lt;SUM(J22:J28)),"-","")</f>
        <v/>
      </c>
      <c r="L28" s="9" t="str">
        <f t="shared" ref="L28:L49" si="7">IF(B28="Sonntag",ABS(SUM(I22:I28)-SUM(J22:J28)),"")</f>
        <v/>
      </c>
      <c r="N28" s="299" t="s">
        <v>118</v>
      </c>
    </row>
    <row r="29" spans="1:14" ht="17.399999999999999" customHeight="1" x14ac:dyDescent="0.25">
      <c r="A29" s="55">
        <v>11</v>
      </c>
      <c r="B29" s="56" t="str">
        <f t="shared" si="3"/>
        <v>Sonntag</v>
      </c>
      <c r="C29" s="4">
        <v>0.35416666666666669</v>
      </c>
      <c r="D29" s="4">
        <v>0.70833333333333337</v>
      </c>
      <c r="E29" s="4">
        <v>2.0833333333333332E-2</v>
      </c>
      <c r="F29" s="346">
        <f t="shared" si="4"/>
        <v>0.33333333333333337</v>
      </c>
      <c r="G29" s="347"/>
      <c r="H29" s="212">
        <f t="shared" si="1"/>
        <v>0</v>
      </c>
      <c r="I29" s="195" t="str">
        <f t="shared" si="2"/>
        <v/>
      </c>
      <c r="J29" s="5" t="str">
        <f t="shared" si="5"/>
        <v/>
      </c>
      <c r="K29" s="8" t="str">
        <f t="shared" si="6"/>
        <v/>
      </c>
      <c r="L29" s="9">
        <f t="shared" si="7"/>
        <v>2.083333333333337E-2</v>
      </c>
      <c r="N29" s="299" t="s">
        <v>130</v>
      </c>
    </row>
    <row r="30" spans="1:14" ht="17.399999999999999" customHeight="1" x14ac:dyDescent="0.25">
      <c r="A30" s="55">
        <v>12</v>
      </c>
      <c r="B30" s="56" t="str">
        <f t="shared" si="3"/>
        <v>Montag</v>
      </c>
      <c r="C30" s="4">
        <v>0.35416666666666669</v>
      </c>
      <c r="D30" s="4">
        <v>0.70833333333333337</v>
      </c>
      <c r="E30" s="4">
        <v>2.0833333333333332E-2</v>
      </c>
      <c r="F30" s="346">
        <f t="shared" si="4"/>
        <v>0.33333333333333337</v>
      </c>
      <c r="G30" s="347"/>
      <c r="H30" s="212">
        <f t="shared" si="1"/>
        <v>0.33333333333333331</v>
      </c>
      <c r="I30" s="195" t="str">
        <f t="shared" si="2"/>
        <v/>
      </c>
      <c r="J30" s="5" t="str">
        <f t="shared" si="5"/>
        <v/>
      </c>
      <c r="K30" s="8" t="str">
        <f t="shared" si="6"/>
        <v/>
      </c>
      <c r="L30" s="9" t="str">
        <f t="shared" si="7"/>
        <v/>
      </c>
    </row>
    <row r="31" spans="1:14" ht="17.399999999999999" customHeight="1" x14ac:dyDescent="0.25">
      <c r="A31" s="55">
        <v>13</v>
      </c>
      <c r="B31" s="56" t="str">
        <f t="shared" si="3"/>
        <v>Dienstag</v>
      </c>
      <c r="C31" s="4">
        <v>0.35416666666666669</v>
      </c>
      <c r="D31" s="4">
        <v>0.70833333333333337</v>
      </c>
      <c r="E31" s="4">
        <v>2.0833333333333332E-2</v>
      </c>
      <c r="F31" s="346">
        <f t="shared" si="4"/>
        <v>0.33333333333333337</v>
      </c>
      <c r="G31" s="347"/>
      <c r="H31" s="212">
        <f t="shared" si="1"/>
        <v>0.33333333333333331</v>
      </c>
      <c r="I31" s="195" t="str">
        <f t="shared" si="2"/>
        <v/>
      </c>
      <c r="J31" s="5" t="str">
        <f t="shared" si="5"/>
        <v/>
      </c>
      <c r="K31" s="8" t="str">
        <f t="shared" si="6"/>
        <v/>
      </c>
      <c r="L31" s="9" t="str">
        <f t="shared" si="7"/>
        <v/>
      </c>
    </row>
    <row r="32" spans="1:14" ht="17.399999999999999" customHeight="1" x14ac:dyDescent="0.25">
      <c r="A32" s="55">
        <v>14</v>
      </c>
      <c r="B32" s="56" t="str">
        <f t="shared" si="3"/>
        <v>Mittwoch</v>
      </c>
      <c r="C32" s="4">
        <v>0.35416666666666669</v>
      </c>
      <c r="D32" s="4">
        <v>0.70833333333333337</v>
      </c>
      <c r="E32" s="4">
        <v>2.0833333333333332E-2</v>
      </c>
      <c r="F32" s="346">
        <f t="shared" si="4"/>
        <v>0.33333333333333337</v>
      </c>
      <c r="G32" s="347"/>
      <c r="H32" s="212">
        <f t="shared" si="1"/>
        <v>0.33333333333333331</v>
      </c>
      <c r="I32" s="195" t="str">
        <f t="shared" si="2"/>
        <v/>
      </c>
      <c r="J32" s="5" t="str">
        <f t="shared" si="5"/>
        <v/>
      </c>
      <c r="K32" s="8" t="str">
        <f t="shared" si="6"/>
        <v/>
      </c>
      <c r="L32" s="9" t="str">
        <f t="shared" si="7"/>
        <v/>
      </c>
    </row>
    <row r="33" spans="1:14" ht="17.399999999999999" customHeight="1" x14ac:dyDescent="0.25">
      <c r="A33" s="55">
        <v>15</v>
      </c>
      <c r="B33" s="56" t="str">
        <f t="shared" si="3"/>
        <v>Donnerstag</v>
      </c>
      <c r="C33" s="4">
        <v>0.35416666666666669</v>
      </c>
      <c r="D33" s="4">
        <v>0.70833333333333337</v>
      </c>
      <c r="E33" s="4">
        <v>2.0833333333333332E-2</v>
      </c>
      <c r="F33" s="346">
        <f t="shared" si="4"/>
        <v>0.33333333333333337</v>
      </c>
      <c r="G33" s="347"/>
      <c r="H33" s="212">
        <f t="shared" si="1"/>
        <v>0.33333333333333331</v>
      </c>
      <c r="I33" s="195" t="str">
        <f t="shared" si="2"/>
        <v/>
      </c>
      <c r="J33" s="5" t="str">
        <f t="shared" si="5"/>
        <v/>
      </c>
      <c r="K33" s="8" t="str">
        <f t="shared" si="6"/>
        <v/>
      </c>
      <c r="L33" s="9" t="str">
        <f t="shared" si="7"/>
        <v/>
      </c>
    </row>
    <row r="34" spans="1:14" ht="17.399999999999999" customHeight="1" x14ac:dyDescent="0.25">
      <c r="A34" s="55">
        <v>16</v>
      </c>
      <c r="B34" s="56" t="str">
        <f t="shared" si="3"/>
        <v>Freitag</v>
      </c>
      <c r="C34" s="4">
        <v>0.35416666666666669</v>
      </c>
      <c r="D34" s="4">
        <v>0.70833333333333337</v>
      </c>
      <c r="E34" s="4">
        <v>2.0833333333333332E-2</v>
      </c>
      <c r="F34" s="346">
        <f t="shared" si="4"/>
        <v>0.33333333333333337</v>
      </c>
      <c r="G34" s="347"/>
      <c r="H34" s="212">
        <f t="shared" si="1"/>
        <v>0.3125</v>
      </c>
      <c r="I34" s="195">
        <f t="shared" si="2"/>
        <v>2.083333333333337E-2</v>
      </c>
      <c r="J34" s="5" t="str">
        <f t="shared" si="5"/>
        <v/>
      </c>
      <c r="K34" s="8" t="str">
        <f t="shared" si="6"/>
        <v/>
      </c>
      <c r="L34" s="9" t="str">
        <f t="shared" si="7"/>
        <v/>
      </c>
    </row>
    <row r="35" spans="1:14" ht="17.399999999999999" customHeight="1" x14ac:dyDescent="0.25">
      <c r="A35" s="55">
        <v>17</v>
      </c>
      <c r="B35" s="56" t="str">
        <f t="shared" si="3"/>
        <v>Samstag</v>
      </c>
      <c r="C35" s="4">
        <v>0.35416666666666669</v>
      </c>
      <c r="D35" s="4">
        <v>0.70833333333333337</v>
      </c>
      <c r="E35" s="4">
        <v>2.0833333333333332E-2</v>
      </c>
      <c r="F35" s="346">
        <f t="shared" si="4"/>
        <v>0.33333333333333337</v>
      </c>
      <c r="G35" s="347"/>
      <c r="H35" s="212">
        <f t="shared" si="1"/>
        <v>0</v>
      </c>
      <c r="I35" s="195" t="str">
        <f t="shared" si="2"/>
        <v/>
      </c>
      <c r="J35" s="5" t="str">
        <f t="shared" si="5"/>
        <v/>
      </c>
      <c r="K35" s="8" t="str">
        <f t="shared" si="6"/>
        <v/>
      </c>
      <c r="L35" s="9" t="str">
        <f t="shared" si="7"/>
        <v/>
      </c>
    </row>
    <row r="36" spans="1:14" ht="17.399999999999999" customHeight="1" x14ac:dyDescent="0.25">
      <c r="A36" s="55">
        <v>18</v>
      </c>
      <c r="B36" s="56" t="str">
        <f t="shared" si="3"/>
        <v>Sonntag</v>
      </c>
      <c r="C36" s="4">
        <v>0.35416666666666669</v>
      </c>
      <c r="D36" s="4">
        <v>0.70833333333333337</v>
      </c>
      <c r="E36" s="4">
        <v>2.0833333333333332E-2</v>
      </c>
      <c r="F36" s="346">
        <f t="shared" si="4"/>
        <v>0.33333333333333337</v>
      </c>
      <c r="G36" s="347"/>
      <c r="H36" s="212">
        <f t="shared" si="1"/>
        <v>0</v>
      </c>
      <c r="I36" s="195" t="str">
        <f t="shared" si="2"/>
        <v/>
      </c>
      <c r="J36" s="5" t="str">
        <f t="shared" si="5"/>
        <v/>
      </c>
      <c r="K36" s="8" t="str">
        <f t="shared" si="6"/>
        <v/>
      </c>
      <c r="L36" s="9">
        <f t="shared" si="7"/>
        <v>2.083333333333337E-2</v>
      </c>
      <c r="N36" s="283" t="s">
        <v>117</v>
      </c>
    </row>
    <row r="37" spans="1:14" ht="17.399999999999999" customHeight="1" x14ac:dyDescent="0.25">
      <c r="A37" s="55">
        <v>19</v>
      </c>
      <c r="B37" s="56" t="str">
        <f t="shared" si="3"/>
        <v>Montag</v>
      </c>
      <c r="C37" s="4">
        <v>0.35416666666666669</v>
      </c>
      <c r="D37" s="4">
        <v>0.70833333333333337</v>
      </c>
      <c r="E37" s="4">
        <v>2.0833333333333332E-2</v>
      </c>
      <c r="F37" s="346">
        <f t="shared" si="4"/>
        <v>0.33333333333333337</v>
      </c>
      <c r="G37" s="347"/>
      <c r="H37" s="212">
        <f t="shared" si="1"/>
        <v>0.33333333333333331</v>
      </c>
      <c r="I37" s="195" t="str">
        <f t="shared" si="2"/>
        <v/>
      </c>
      <c r="J37" s="5" t="str">
        <f t="shared" si="5"/>
        <v/>
      </c>
      <c r="K37" s="8" t="str">
        <f t="shared" si="6"/>
        <v/>
      </c>
      <c r="L37" s="9" t="str">
        <f t="shared" si="7"/>
        <v/>
      </c>
      <c r="N37" s="299" t="s">
        <v>106</v>
      </c>
    </row>
    <row r="38" spans="1:14" ht="17.399999999999999" customHeight="1" x14ac:dyDescent="0.25">
      <c r="A38" s="55">
        <v>20</v>
      </c>
      <c r="B38" s="56" t="str">
        <f t="shared" si="3"/>
        <v>Dienstag</v>
      </c>
      <c r="C38" s="4">
        <v>0.35416666666666669</v>
      </c>
      <c r="D38" s="4">
        <v>0.70833333333333337</v>
      </c>
      <c r="E38" s="4">
        <v>2.0833333333333332E-2</v>
      </c>
      <c r="F38" s="346">
        <f t="shared" si="4"/>
        <v>0.33333333333333337</v>
      </c>
      <c r="G38" s="347"/>
      <c r="H38" s="212">
        <f t="shared" si="1"/>
        <v>0.33333333333333331</v>
      </c>
      <c r="I38" s="195" t="str">
        <f t="shared" si="2"/>
        <v/>
      </c>
      <c r="J38" s="5" t="str">
        <f t="shared" si="5"/>
        <v/>
      </c>
      <c r="K38" s="8" t="str">
        <f t="shared" si="6"/>
        <v/>
      </c>
      <c r="L38" s="9" t="str">
        <f t="shared" si="7"/>
        <v/>
      </c>
    </row>
    <row r="39" spans="1:14" ht="17.399999999999999" customHeight="1" x14ac:dyDescent="0.25">
      <c r="A39" s="55">
        <v>21</v>
      </c>
      <c r="B39" s="56" t="str">
        <f t="shared" si="3"/>
        <v>Mittwoch</v>
      </c>
      <c r="C39" s="4">
        <v>0.35416666666666669</v>
      </c>
      <c r="D39" s="4">
        <v>0.70833333333333337</v>
      </c>
      <c r="E39" s="4">
        <v>2.0833333333333332E-2</v>
      </c>
      <c r="F39" s="346">
        <f t="shared" si="4"/>
        <v>0.33333333333333337</v>
      </c>
      <c r="G39" s="347"/>
      <c r="H39" s="212">
        <f t="shared" si="1"/>
        <v>0.33333333333333331</v>
      </c>
      <c r="I39" s="195" t="str">
        <f t="shared" si="2"/>
        <v/>
      </c>
      <c r="J39" s="5" t="str">
        <f t="shared" si="5"/>
        <v/>
      </c>
      <c r="K39" s="8" t="str">
        <f t="shared" si="6"/>
        <v/>
      </c>
      <c r="L39" s="9" t="str">
        <f t="shared" si="7"/>
        <v/>
      </c>
    </row>
    <row r="40" spans="1:14" ht="17.399999999999999" customHeight="1" x14ac:dyDescent="0.25">
      <c r="A40" s="55">
        <v>22</v>
      </c>
      <c r="B40" s="56" t="str">
        <f t="shared" si="3"/>
        <v>Donnerstag</v>
      </c>
      <c r="C40" s="4">
        <v>0.35416666666666669</v>
      </c>
      <c r="D40" s="4">
        <v>0.70833333333333337</v>
      </c>
      <c r="E40" s="4">
        <v>2.0833333333333332E-2</v>
      </c>
      <c r="F40" s="346">
        <f t="shared" si="4"/>
        <v>0.33333333333333337</v>
      </c>
      <c r="G40" s="347"/>
      <c r="H40" s="212">
        <f t="shared" si="1"/>
        <v>0.33333333333333331</v>
      </c>
      <c r="I40" s="195" t="str">
        <f t="shared" si="2"/>
        <v/>
      </c>
      <c r="J40" s="5" t="str">
        <f t="shared" si="5"/>
        <v/>
      </c>
      <c r="K40" s="8" t="str">
        <f t="shared" si="6"/>
        <v/>
      </c>
      <c r="L40" s="9" t="str">
        <f t="shared" si="7"/>
        <v/>
      </c>
    </row>
    <row r="41" spans="1:14" ht="17.399999999999999" customHeight="1" x14ac:dyDescent="0.25">
      <c r="A41" s="55">
        <v>23</v>
      </c>
      <c r="B41" s="56" t="str">
        <f t="shared" si="3"/>
        <v>Freitag</v>
      </c>
      <c r="C41" s="4">
        <v>0.35416666666666669</v>
      </c>
      <c r="D41" s="4">
        <v>0.70833333333333337</v>
      </c>
      <c r="E41" s="4">
        <v>2.0833333333333332E-2</v>
      </c>
      <c r="F41" s="346">
        <f t="shared" si="4"/>
        <v>0.33333333333333337</v>
      </c>
      <c r="G41" s="347"/>
      <c r="H41" s="212">
        <f t="shared" si="1"/>
        <v>0.3125</v>
      </c>
      <c r="I41" s="195">
        <f t="shared" si="2"/>
        <v>2.083333333333337E-2</v>
      </c>
      <c r="J41" s="5" t="str">
        <f t="shared" si="5"/>
        <v/>
      </c>
      <c r="K41" s="8" t="str">
        <f t="shared" si="6"/>
        <v/>
      </c>
      <c r="L41" s="9" t="str">
        <f t="shared" si="7"/>
        <v/>
      </c>
    </row>
    <row r="42" spans="1:14" ht="17.399999999999999" customHeight="1" x14ac:dyDescent="0.25">
      <c r="A42" s="55">
        <v>24</v>
      </c>
      <c r="B42" s="56" t="str">
        <f t="shared" si="3"/>
        <v>Samstag</v>
      </c>
      <c r="C42" s="4">
        <v>0.35416666666666669</v>
      </c>
      <c r="D42" s="4">
        <v>0.70833333333333337</v>
      </c>
      <c r="E42" s="4">
        <v>2.0833333333333332E-2</v>
      </c>
      <c r="F42" s="346">
        <f t="shared" si="4"/>
        <v>0.33333333333333337</v>
      </c>
      <c r="G42" s="347"/>
      <c r="H42" s="212">
        <f t="shared" si="1"/>
        <v>0</v>
      </c>
      <c r="I42" s="195" t="str">
        <f t="shared" si="2"/>
        <v/>
      </c>
      <c r="J42" s="5" t="str">
        <f t="shared" si="5"/>
        <v/>
      </c>
      <c r="K42" s="8" t="str">
        <f t="shared" si="6"/>
        <v/>
      </c>
      <c r="L42" s="9" t="str">
        <f t="shared" si="7"/>
        <v/>
      </c>
    </row>
    <row r="43" spans="1:14" ht="17.399999999999999" customHeight="1" x14ac:dyDescent="0.25">
      <c r="A43" s="55">
        <v>25</v>
      </c>
      <c r="B43" s="56" t="str">
        <f t="shared" si="3"/>
        <v>Sonntag</v>
      </c>
      <c r="C43" s="4">
        <v>0.35416666666666669</v>
      </c>
      <c r="D43" s="4">
        <v>0.70833333333333337</v>
      </c>
      <c r="E43" s="4">
        <v>2.0833333333333332E-2</v>
      </c>
      <c r="F43" s="346">
        <f t="shared" si="4"/>
        <v>0.33333333333333337</v>
      </c>
      <c r="G43" s="347"/>
      <c r="H43" s="212">
        <f t="shared" si="1"/>
        <v>0</v>
      </c>
      <c r="I43" s="195" t="str">
        <f t="shared" si="2"/>
        <v/>
      </c>
      <c r="J43" s="5" t="str">
        <f t="shared" si="5"/>
        <v/>
      </c>
      <c r="K43" s="8" t="str">
        <f t="shared" si="6"/>
        <v/>
      </c>
      <c r="L43" s="9">
        <f t="shared" si="7"/>
        <v>2.083333333333337E-2</v>
      </c>
    </row>
    <row r="44" spans="1:14" ht="17.399999999999999" customHeight="1" x14ac:dyDescent="0.25">
      <c r="A44" s="55">
        <v>26</v>
      </c>
      <c r="B44" s="56" t="str">
        <f t="shared" si="3"/>
        <v>Montag</v>
      </c>
      <c r="C44" s="4">
        <v>0.35416666666666669</v>
      </c>
      <c r="D44" s="4">
        <v>0.70833333333333337</v>
      </c>
      <c r="E44" s="4">
        <v>2.0833333333333332E-2</v>
      </c>
      <c r="F44" s="346">
        <f t="shared" si="4"/>
        <v>0.33333333333333337</v>
      </c>
      <c r="G44" s="347"/>
      <c r="H44" s="212">
        <f t="shared" si="1"/>
        <v>0.33333333333333331</v>
      </c>
      <c r="I44" s="195" t="str">
        <f t="shared" si="2"/>
        <v/>
      </c>
      <c r="J44" s="5" t="str">
        <f t="shared" si="5"/>
        <v/>
      </c>
      <c r="K44" s="8" t="str">
        <f t="shared" si="6"/>
        <v/>
      </c>
      <c r="L44" s="9" t="str">
        <f t="shared" si="7"/>
        <v/>
      </c>
    </row>
    <row r="45" spans="1:14" ht="17.399999999999999" customHeight="1" x14ac:dyDescent="0.25">
      <c r="A45" s="55">
        <v>27</v>
      </c>
      <c r="B45" s="56" t="str">
        <f t="shared" si="3"/>
        <v>Dienstag</v>
      </c>
      <c r="C45" s="4">
        <v>0.35416666666666669</v>
      </c>
      <c r="D45" s="4">
        <v>0.70833333333333337</v>
      </c>
      <c r="E45" s="4">
        <v>2.0833333333333332E-2</v>
      </c>
      <c r="F45" s="346">
        <f t="shared" si="4"/>
        <v>0.33333333333333337</v>
      </c>
      <c r="G45" s="347"/>
      <c r="H45" s="212">
        <f t="shared" si="1"/>
        <v>0.33333333333333331</v>
      </c>
      <c r="I45" s="195" t="str">
        <f t="shared" si="2"/>
        <v/>
      </c>
      <c r="J45" s="5" t="str">
        <f t="shared" si="5"/>
        <v/>
      </c>
      <c r="K45" s="8" t="str">
        <f t="shared" si="6"/>
        <v/>
      </c>
      <c r="L45" s="9" t="str">
        <f t="shared" si="7"/>
        <v/>
      </c>
    </row>
    <row r="46" spans="1:14" ht="17.399999999999999" customHeight="1" x14ac:dyDescent="0.25">
      <c r="A46" s="55">
        <v>28</v>
      </c>
      <c r="B46" s="56" t="str">
        <f t="shared" si="3"/>
        <v>Mittwoch</v>
      </c>
      <c r="C46" s="4">
        <v>0.35416666666666669</v>
      </c>
      <c r="D46" s="87">
        <v>0.70833333333333337</v>
      </c>
      <c r="E46" s="87">
        <v>2.0833333333333332E-2</v>
      </c>
      <c r="F46" s="346">
        <f t="shared" si="4"/>
        <v>0.33333333333333337</v>
      </c>
      <c r="G46" s="347"/>
      <c r="H46" s="212">
        <f t="shared" si="1"/>
        <v>0.33333333333333331</v>
      </c>
      <c r="I46" s="195" t="str">
        <f t="shared" si="2"/>
        <v/>
      </c>
      <c r="J46" s="80" t="str">
        <f t="shared" si="5"/>
        <v/>
      </c>
      <c r="K46" s="8" t="str">
        <f t="shared" ref="K46" si="8">IF(AND(B46="Sonntag",SUM(I40:I46)&lt;SUM(J40:J46)),"-","")</f>
        <v/>
      </c>
      <c r="L46" s="9" t="str">
        <f t="shared" ref="L46" si="9">IF(B46="Sonntag",ABS(SUM(I40:I46)-SUM(J40:J46)),"")</f>
        <v/>
      </c>
      <c r="N46" s="283"/>
    </row>
    <row r="47" spans="1:14" ht="17.399999999999999" customHeight="1" x14ac:dyDescent="0.3">
      <c r="A47" s="55">
        <v>29</v>
      </c>
      <c r="B47" s="107" t="str">
        <f>TEXT(CONCATENATE(A47,".",I$11," ", J$11), "TTTT")</f>
        <v>Donnerstag</v>
      </c>
      <c r="C47" s="87">
        <v>0.35416666666666669</v>
      </c>
      <c r="D47" s="87">
        <v>0.70833333333333337</v>
      </c>
      <c r="E47" s="87">
        <v>2.0833333333333332E-2</v>
      </c>
      <c r="F47" s="371">
        <f t="shared" ref="F47" si="10">IF(OR(ISTEXT(C47),ISBLANK(C47)),"",D47-C47-E47)</f>
        <v>0.33333333333333337</v>
      </c>
      <c r="G47" s="372"/>
      <c r="H47" s="301">
        <f t="shared" si="1"/>
        <v>0.33333333333333331</v>
      </c>
      <c r="I47" s="195" t="str">
        <f t="shared" si="2"/>
        <v/>
      </c>
      <c r="J47" s="80" t="str">
        <f t="shared" si="5"/>
        <v/>
      </c>
      <c r="K47" s="10" t="str">
        <f ca="1">IF(SUM(INDIRECT("I"&amp;ROW()-WEEKDAY(CONCATENATE(A47,".",I$11," ",J$11),3)):I50) &lt; SUM(INDIRECT("j"&amp;ROW()-WEEKDAY(CONCATENATE(A47,".",I$11," ",J$11),3)):J50),"-","")</f>
        <v/>
      </c>
      <c r="L47" s="11">
        <f ca="1">ABS(SUM(INDIRECT("I"&amp;ROW()-WEEKDAY(CONCATENATE(A47,".",I$11," ",J$11),3)):I49)-SUM(INDIRECT("j"&amp;ROW()-WEEKDAY(CONCATENATE(A47,".",I$11," ",J$11),3)):J49))</f>
        <v>0</v>
      </c>
      <c r="M47" s="241"/>
      <c r="N47" s="284"/>
    </row>
    <row r="48" spans="1:14" ht="17.399999999999999" customHeight="1" x14ac:dyDescent="0.25">
      <c r="A48" s="304"/>
      <c r="B48" s="306"/>
      <c r="C48" s="306"/>
      <c r="D48" s="306"/>
      <c r="E48" s="306"/>
      <c r="F48" s="373"/>
      <c r="G48" s="374"/>
      <c r="H48" s="83"/>
      <c r="I48" s="152"/>
      <c r="J48" s="152"/>
      <c r="K48" s="82"/>
      <c r="L48" s="83"/>
    </row>
    <row r="49" spans="1:14" ht="17.399999999999999" customHeight="1" x14ac:dyDescent="0.25">
      <c r="A49" s="304"/>
      <c r="B49" s="306"/>
      <c r="C49" s="306"/>
      <c r="D49" s="306"/>
      <c r="E49" s="306"/>
      <c r="F49" s="373"/>
      <c r="G49" s="374"/>
      <c r="H49" s="305"/>
      <c r="I49" s="84"/>
      <c r="J49" s="84"/>
      <c r="K49" s="85" t="str">
        <f t="shared" si="6"/>
        <v/>
      </c>
      <c r="L49" s="86" t="str">
        <f t="shared" si="7"/>
        <v/>
      </c>
    </row>
    <row r="50" spans="1:14" s="68" customFormat="1" ht="17.399999999999999" customHeight="1" thickBot="1" x14ac:dyDescent="0.3">
      <c r="A50" s="59" t="str">
        <f>Jan!A50</f>
        <v>Sonstige Zeiten laut beigefügter Aufstellung (s. Anlage):</v>
      </c>
      <c r="B50" s="214"/>
      <c r="C50" s="215"/>
      <c r="D50" s="216"/>
      <c r="E50" s="216"/>
      <c r="F50" s="216"/>
      <c r="G50" s="216"/>
      <c r="H50" s="63"/>
      <c r="I50" s="219">
        <v>0</v>
      </c>
      <c r="J50" s="220">
        <v>0</v>
      </c>
      <c r="K50" s="66"/>
      <c r="L50" s="67"/>
      <c r="M50" s="171"/>
      <c r="N50" s="171"/>
    </row>
    <row r="51" spans="1:14" x14ac:dyDescent="0.25">
      <c r="A51" s="350" t="s">
        <v>3</v>
      </c>
      <c r="B51" s="350"/>
      <c r="C51" s="350"/>
      <c r="D51" s="350"/>
      <c r="H51" s="69">
        <f>Jan!H51</f>
        <v>0.33333333333333331</v>
      </c>
      <c r="I51" s="351">
        <f>SUM(I17:I50)</f>
        <v>0.16666666666666696</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Jan!H52</f>
        <v>0.33333333333333331</v>
      </c>
      <c r="I52" s="352"/>
      <c r="J52" s="352"/>
      <c r="K52" s="334"/>
      <c r="L52" s="336"/>
    </row>
    <row r="53" spans="1:14" x14ac:dyDescent="0.25">
      <c r="A53" s="339"/>
      <c r="B53" s="339"/>
      <c r="C53" s="339"/>
      <c r="D53" s="339"/>
      <c r="G53" s="71"/>
      <c r="H53" s="69">
        <f>Jan!H53</f>
        <v>0.33333333333333331</v>
      </c>
      <c r="I53" s="344">
        <f>IF(I51&gt;J51,I51-J51,0)</f>
        <v>0.16666666666666696</v>
      </c>
      <c r="J53" s="342" t="str">
        <f>IF(J51&gt;I51,J51-I51,"")</f>
        <v/>
      </c>
      <c r="K53" s="375"/>
      <c r="L53" s="377"/>
    </row>
    <row r="54" spans="1:14" ht="13.5" thickBot="1" x14ac:dyDescent="0.35">
      <c r="A54" s="341" t="s">
        <v>15</v>
      </c>
      <c r="B54" s="341"/>
      <c r="C54" s="341"/>
      <c r="D54" s="341"/>
      <c r="E54" s="72"/>
      <c r="F54" s="72"/>
      <c r="G54" s="70" t="s">
        <v>13</v>
      </c>
      <c r="H54" s="69">
        <f>Jan!H54</f>
        <v>0.33333333333333331</v>
      </c>
      <c r="I54" s="345"/>
      <c r="J54" s="343"/>
      <c r="K54" s="376"/>
      <c r="L54" s="378"/>
    </row>
    <row r="55" spans="1:14" x14ac:dyDescent="0.25">
      <c r="A55" s="338" t="s">
        <v>4</v>
      </c>
      <c r="B55" s="338"/>
      <c r="C55" s="338"/>
      <c r="D55" s="338"/>
      <c r="E55" s="72"/>
      <c r="F55" s="72"/>
      <c r="G55" s="72"/>
      <c r="H55" s="69">
        <f>Jan!H55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IF(Mantelbogen!D26=I11,Mantelbogen!C29,Jan!G58))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227"/>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4">
    <mergeCell ref="K53:K54"/>
    <mergeCell ref="L53:L54"/>
    <mergeCell ref="I53:I54"/>
    <mergeCell ref="A51:D51"/>
    <mergeCell ref="I51:I52"/>
    <mergeCell ref="J51:J52"/>
    <mergeCell ref="A52:D53"/>
    <mergeCell ref="A54:D54"/>
    <mergeCell ref="G60:I60"/>
    <mergeCell ref="A55:D55"/>
    <mergeCell ref="A56:D57"/>
    <mergeCell ref="I56:J58"/>
    <mergeCell ref="A58:D58"/>
    <mergeCell ref="F44:G44"/>
    <mergeCell ref="F45:G45"/>
    <mergeCell ref="F46:G46"/>
    <mergeCell ref="J53:J54"/>
    <mergeCell ref="F47:G47"/>
    <mergeCell ref="F48:G48"/>
    <mergeCell ref="F49:G49"/>
    <mergeCell ref="F30:G30"/>
    <mergeCell ref="F31:G31"/>
    <mergeCell ref="F27:G27"/>
    <mergeCell ref="F28:G28"/>
    <mergeCell ref="F43:G43"/>
    <mergeCell ref="F32:G32"/>
    <mergeCell ref="F33:G33"/>
    <mergeCell ref="F34:G34"/>
    <mergeCell ref="F35:G35"/>
    <mergeCell ref="F36:G36"/>
    <mergeCell ref="F37:G37"/>
    <mergeCell ref="F38:G38"/>
    <mergeCell ref="F39:G39"/>
    <mergeCell ref="F40:G40"/>
    <mergeCell ref="F41:G41"/>
    <mergeCell ref="F42:G42"/>
    <mergeCell ref="G1:J7"/>
    <mergeCell ref="I15:J15"/>
    <mergeCell ref="I17:I18"/>
    <mergeCell ref="J17:J18"/>
    <mergeCell ref="F15:G18"/>
    <mergeCell ref="H15:H18"/>
    <mergeCell ref="C3:D3"/>
    <mergeCell ref="A4:E6"/>
    <mergeCell ref="A11:B11"/>
    <mergeCell ref="A13:B13"/>
    <mergeCell ref="A15:A18"/>
    <mergeCell ref="E15:E18"/>
    <mergeCell ref="K15:L16"/>
    <mergeCell ref="K17:L18"/>
    <mergeCell ref="K51:K52"/>
    <mergeCell ref="L51:L52"/>
    <mergeCell ref="B15:B18"/>
    <mergeCell ref="C15:C18"/>
    <mergeCell ref="D15:D18"/>
    <mergeCell ref="F24:G24"/>
    <mergeCell ref="F25:G25"/>
    <mergeCell ref="F20:G20"/>
    <mergeCell ref="F19:G19"/>
    <mergeCell ref="F22:G22"/>
    <mergeCell ref="F23:G23"/>
    <mergeCell ref="F21:G21"/>
    <mergeCell ref="F26:G26"/>
    <mergeCell ref="F29:G29"/>
  </mergeCells>
  <phoneticPr fontId="0" type="noConversion"/>
  <conditionalFormatting sqref="C19:C48">
    <cfRule type="expression" dxfId="76" priority="3">
      <formula>ISTEXT($C19)</formula>
    </cfRule>
  </conditionalFormatting>
  <conditionalFormatting sqref="E19:E48">
    <cfRule type="expression" dxfId="75" priority="14">
      <formula>AND(ISNONTEXT($C19), OR(AND($F19 &gt; 0.250001, $E19 &lt; 0.020833332), AND($F19 &gt; 0.375, $E19 &lt; 0.03124999)  ) )</formula>
    </cfRule>
  </conditionalFormatting>
  <conditionalFormatting sqref="F19:F48">
    <cfRule type="expression" dxfId="74" priority="15">
      <formula>AND(ISNONTEXT($C19),$F19 &gt; 0.666667)</formula>
    </cfRule>
  </conditionalFormatting>
  <conditionalFormatting sqref="A19:L47 A48:F48 H48:L48">
    <cfRule type="expression" dxfId="73" priority="1">
      <formula>OR($B19="Samstag", $B19="Sonntag", NOT( ISERROR(FIND("feiertag",LOWER($C19)) ) ) )</formula>
    </cfRule>
  </conditionalFormatting>
  <conditionalFormatting sqref="C19:J47 C48:F48 H48:J48">
    <cfRule type="expression" dxfId="72" priority="4">
      <formula>OR(AND($B19="Samstag", $H$56&lt;0.00001),AND($B19="Sonntag", $H$57&lt;0.00001))</formula>
    </cfRule>
  </conditionalFormatting>
  <conditionalFormatting sqref="C19:I47 C48:F48 H48:I48">
    <cfRule type="expression" dxfId="71" priority="6">
      <formula>AND($B19="Sonntag", $H$57&gt;0.00001)</formula>
    </cfRule>
    <cfRule type="expression" dxfId="70" priority="11">
      <formula>AND($B19="Samstag", $H$56&gt;0.00001)</formula>
    </cfRule>
  </conditionalFormatting>
  <printOptions horizontalCentered="1" verticalCentered="1"/>
  <pageMargins left="1.0236220472440944" right="0.23622047244094491" top="0.23622047244094491" bottom="0.19685039370078741" header="0.15748031496062992" footer="0.15748031496062992"/>
  <pageSetup paperSize="9" scale="8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N62"/>
  <sheetViews>
    <sheetView topLeftCell="A22" zoomScaleNormal="100" workbookViewId="0">
      <selection activeCell="N42" sqref="N42"/>
    </sheetView>
  </sheetViews>
  <sheetFormatPr defaultColWidth="11.54296875" defaultRowHeight="12.5" x14ac:dyDescent="0.25"/>
  <cols>
    <col min="1" max="1" width="5.54296875" style="20" customWidth="1"/>
    <col min="2" max="2" width="9.08984375" style="21" customWidth="1"/>
    <col min="3" max="3" width="9.54296875" style="21" customWidth="1"/>
    <col min="4" max="4" width="9.08984375" style="21" customWidth="1"/>
    <col min="5" max="5" width="8.54296875" style="18" customWidth="1"/>
    <col min="6" max="6" width="7.08984375" style="18" customWidth="1"/>
    <col min="7" max="7" width="3.1796875" style="18" customWidth="1"/>
    <col min="8" max="8" width="9.08984375" style="18" customWidth="1"/>
    <col min="9" max="9" width="9.90625" style="18" customWidth="1"/>
    <col min="10" max="10" width="10.36328125" style="18" customWidth="1"/>
    <col min="11" max="11" width="2.90625" style="18" customWidth="1"/>
    <col min="12" max="12" width="8.90625" style="18" customWidth="1"/>
    <col min="13" max="13" width="16.36328125" style="229" customWidth="1"/>
    <col min="14" max="14" width="18.1796875" style="18" customWidth="1"/>
    <col min="15" max="16384" width="11.54296875" style="18"/>
  </cols>
  <sheetData>
    <row r="1" spans="1:14" ht="15.5" x14ac:dyDescent="0.35">
      <c r="A1" s="15" t="s">
        <v>72</v>
      </c>
      <c r="B1" s="16"/>
      <c r="C1" s="16"/>
      <c r="D1" s="16"/>
      <c r="E1" s="16"/>
      <c r="F1" s="17"/>
      <c r="G1" s="359" t="s">
        <v>9</v>
      </c>
      <c r="H1" s="359"/>
      <c r="I1" s="359"/>
      <c r="J1" s="359"/>
    </row>
    <row r="2" spans="1:14" ht="15.5" x14ac:dyDescent="0.35">
      <c r="A2" s="16"/>
      <c r="B2" s="16"/>
      <c r="C2" s="16"/>
      <c r="D2" s="16"/>
      <c r="E2" s="16"/>
      <c r="F2" s="19"/>
      <c r="G2" s="359"/>
      <c r="H2" s="359"/>
      <c r="I2" s="359"/>
      <c r="J2" s="359"/>
    </row>
    <row r="3" spans="1:14" x14ac:dyDescent="0.25">
      <c r="C3" s="379" t="s">
        <v>11</v>
      </c>
      <c r="D3" s="380"/>
      <c r="G3" s="359"/>
      <c r="H3" s="359"/>
      <c r="I3" s="359"/>
      <c r="J3" s="359"/>
    </row>
    <row r="4" spans="1:14" ht="13.25" customHeight="1" x14ac:dyDescent="0.25">
      <c r="A4" s="361" t="s">
        <v>5</v>
      </c>
      <c r="B4" s="361"/>
      <c r="C4" s="361"/>
      <c r="D4" s="361"/>
      <c r="E4" s="361"/>
      <c r="F4" s="22"/>
      <c r="G4" s="359"/>
      <c r="H4" s="359"/>
      <c r="I4" s="359"/>
      <c r="J4" s="359"/>
    </row>
    <row r="5" spans="1:14" ht="6" customHeight="1" x14ac:dyDescent="0.25">
      <c r="A5" s="361"/>
      <c r="B5" s="361"/>
      <c r="C5" s="361"/>
      <c r="D5" s="361"/>
      <c r="E5" s="361"/>
      <c r="F5" s="22"/>
      <c r="G5" s="359"/>
      <c r="H5" s="359"/>
      <c r="I5" s="359"/>
      <c r="J5" s="359"/>
    </row>
    <row r="6" spans="1:14" ht="13.25" customHeight="1" x14ac:dyDescent="0.25">
      <c r="A6" s="361"/>
      <c r="B6" s="361"/>
      <c r="C6" s="361"/>
      <c r="D6" s="361"/>
      <c r="E6" s="361"/>
      <c r="F6" s="22"/>
      <c r="G6" s="359"/>
      <c r="H6" s="359"/>
      <c r="I6" s="359"/>
      <c r="J6" s="359"/>
    </row>
    <row r="7" spans="1:14" ht="13.25" customHeight="1" x14ac:dyDescent="0.25">
      <c r="A7" s="22"/>
      <c r="B7" s="22"/>
      <c r="C7" s="22"/>
      <c r="D7" s="22"/>
      <c r="E7" s="22"/>
      <c r="F7" s="22"/>
      <c r="G7" s="359"/>
      <c r="H7" s="359"/>
      <c r="I7" s="359"/>
      <c r="J7" s="359"/>
    </row>
    <row r="8" spans="1:14" ht="6" customHeight="1" thickBot="1" x14ac:dyDescent="0.3">
      <c r="A8" s="23"/>
      <c r="B8" s="24"/>
      <c r="C8" s="24"/>
      <c r="D8" s="24"/>
      <c r="E8" s="25"/>
      <c r="F8" s="25"/>
      <c r="G8" s="25"/>
      <c r="H8" s="25"/>
      <c r="I8" s="26"/>
      <c r="J8" s="26"/>
      <c r="K8" s="27"/>
      <c r="L8" s="28"/>
    </row>
    <row r="9" spans="1:14" ht="6" customHeight="1" x14ac:dyDescent="0.25">
      <c r="A9" s="29"/>
      <c r="B9" s="30"/>
      <c r="C9" s="30"/>
      <c r="D9" s="30"/>
      <c r="E9" s="31"/>
      <c r="F9" s="31"/>
      <c r="G9" s="31"/>
      <c r="H9" s="31"/>
      <c r="I9" s="32"/>
      <c r="J9" s="32"/>
      <c r="K9" s="33"/>
      <c r="L9" s="34"/>
    </row>
    <row r="10" spans="1:14" x14ac:dyDescent="0.25">
      <c r="A10" s="29"/>
      <c r="B10" s="30"/>
      <c r="C10" s="30"/>
      <c r="D10" s="30"/>
      <c r="E10" s="31"/>
      <c r="F10" s="31"/>
      <c r="G10" s="31"/>
      <c r="I10" s="32"/>
      <c r="J10" s="32"/>
      <c r="K10" s="33"/>
      <c r="L10" s="34"/>
    </row>
    <row r="11" spans="1:14" x14ac:dyDescent="0.25">
      <c r="A11" s="357" t="s">
        <v>6</v>
      </c>
      <c r="B11" s="357"/>
      <c r="C11" s="35" t="str">
        <f>Feb!C11</f>
        <v>ATHENE, Pallas</v>
      </c>
      <c r="D11" s="36"/>
      <c r="E11" s="37"/>
      <c r="F11" s="38"/>
      <c r="G11" s="38" t="s">
        <v>8</v>
      </c>
      <c r="H11" s="39"/>
      <c r="I11" s="75" t="s">
        <v>26</v>
      </c>
      <c r="J11" s="41">
        <f>Jan!J11</f>
        <v>2024</v>
      </c>
      <c r="K11" s="42"/>
      <c r="L11" s="43"/>
    </row>
    <row r="12" spans="1:14" x14ac:dyDescent="0.25">
      <c r="B12" s="34"/>
      <c r="C12" s="44"/>
      <c r="D12" s="45"/>
      <c r="E12" s="38"/>
      <c r="F12" s="38"/>
      <c r="G12" s="31"/>
      <c r="I12" s="32"/>
      <c r="J12" s="32"/>
      <c r="K12" s="33"/>
      <c r="L12" s="34"/>
    </row>
    <row r="13" spans="1:14" x14ac:dyDescent="0.25">
      <c r="A13" s="357" t="s">
        <v>7</v>
      </c>
      <c r="B13" s="357"/>
      <c r="C13" s="35" t="str">
        <f>Feb!C13</f>
        <v>Geschäftsstelle</v>
      </c>
      <c r="D13" s="50"/>
      <c r="E13" s="37"/>
      <c r="F13" s="51"/>
      <c r="G13" s="51"/>
      <c r="H13" s="39"/>
      <c r="I13" s="36"/>
      <c r="J13" s="37"/>
      <c r="K13" s="42"/>
      <c r="L13" s="43"/>
    </row>
    <row r="14" spans="1:14" ht="13" thickBot="1" x14ac:dyDescent="0.3">
      <c r="K14" s="33"/>
      <c r="L14" s="34"/>
    </row>
    <row r="15" spans="1:14"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4" ht="16" thickBot="1" x14ac:dyDescent="0.4">
      <c r="A16" s="358"/>
      <c r="B16" s="358"/>
      <c r="C16" s="358"/>
      <c r="D16" s="358"/>
      <c r="E16" s="358"/>
      <c r="F16" s="365"/>
      <c r="G16" s="365"/>
      <c r="H16" s="363"/>
      <c r="I16" s="54" t="s">
        <v>1</v>
      </c>
      <c r="J16" s="54" t="s">
        <v>2</v>
      </c>
      <c r="K16" s="327"/>
      <c r="L16" s="328"/>
      <c r="N16" s="294" t="str">
        <f>IF($I$17/$H$58 &gt; 1, CONCATENATE("Noch ",TEXT(($I$17-$H$58)*24,"#,0")), "" )</f>
        <v/>
      </c>
    </row>
    <row r="17" spans="1:14" ht="13.5" thickBot="1" x14ac:dyDescent="0.35">
      <c r="A17" s="358"/>
      <c r="B17" s="358"/>
      <c r="C17" s="358"/>
      <c r="D17" s="358"/>
      <c r="E17" s="358"/>
      <c r="F17" s="365"/>
      <c r="G17" s="365"/>
      <c r="H17" s="363"/>
      <c r="I17" s="368">
        <f>IF(Mantelbogen!D26=I11,Mantelbogen!C28,Feb!I53)</f>
        <v>0.16666666666666696</v>
      </c>
      <c r="J17" s="369" t="str">
        <f>IF(Mantelbogen!D26=I11,Mantelbogen!D28,Feb!J53)</f>
        <v/>
      </c>
      <c r="K17" s="329" t="str">
        <f>IF(I17/H58 &gt; 1, I17/H58, " " )</f>
        <v xml:space="preserve"> </v>
      </c>
      <c r="L17" s="330"/>
      <c r="N17" s="295" t="str">
        <f>IF($I$17/$H$58 &gt; 1, "Überstunden", " " )</f>
        <v xml:space="preserve"> </v>
      </c>
    </row>
    <row r="18" spans="1:14" ht="13.5" thickBot="1" x14ac:dyDescent="0.35">
      <c r="A18" s="358"/>
      <c r="B18" s="358"/>
      <c r="C18" s="358"/>
      <c r="D18" s="358"/>
      <c r="E18" s="358"/>
      <c r="F18" s="365"/>
      <c r="G18" s="365"/>
      <c r="H18" s="364"/>
      <c r="I18" s="368"/>
      <c r="J18" s="369"/>
      <c r="K18" s="331"/>
      <c r="L18" s="332"/>
      <c r="N18" s="295" t="str">
        <f>IF($I$17/$H$58 &gt; 1, "bis 01.04. abzubauen !", " " )</f>
        <v xml:space="preserve"> </v>
      </c>
    </row>
    <row r="19" spans="1:14" ht="17.399999999999999" customHeight="1" x14ac:dyDescent="0.25">
      <c r="A19" s="55">
        <v>1</v>
      </c>
      <c r="B19" s="56" t="str">
        <f t="shared" ref="B19:B49" si="0">TEXT(CONCATENATE(A19,".",I$11," ", J$11), "TTTT")</f>
        <v>Freitag</v>
      </c>
      <c r="C19" s="4">
        <v>0.35416666666666669</v>
      </c>
      <c r="D19" s="4">
        <v>0.70833333333333337</v>
      </c>
      <c r="E19" s="4">
        <v>2.0833333333333332E-2</v>
      </c>
      <c r="F19" s="346">
        <f t="shared" ref="F19" si="1">IF(OR(ISTEXT(C19),ISBLANK(C19)),"",D19-C19-E19)</f>
        <v>0.33333333333333337</v>
      </c>
      <c r="G19" s="347"/>
      <c r="H19" s="212">
        <f t="shared" ref="H19:H49" si="2">IF(AND(OR(ISTEXT(C19),ISBLANK(C19)),ISERR(SEARCH("ausgleich",C19,1))),"",INDEX(H$51:H$58,WEEKDAY(CONCATENATE(A19,".",I$11," ",J$11),2),1,1))</f>
        <v>0.3125</v>
      </c>
      <c r="I19" s="195">
        <f>IF(OR(AND(F19&gt;H19,OR(B19&lt;&gt;"Samstag",H$56&gt;0),OR(B19&lt;&gt;"Sonntag",H$57&gt;0),AND(ISNONTEXT(C19),C19&lt;&gt;""))),F19-H19,"")</f>
        <v>2.083333333333337E-2</v>
      </c>
      <c r="J19" s="5" t="str">
        <f t="shared" ref="J19:J49" si="3">IF(NOT(ISERR(SEARCH("ausgleich",C19,1))),H19, IF(AND(F19&lt;H19,B19&lt;&gt;"Samstag",B19&lt;&gt;"Sonntag",ISNONTEXT(C19)),H19-F19,""))</f>
        <v/>
      </c>
      <c r="K19" s="6" t="str">
        <f>IF(AND(B19="Sonntag",SUM(I19:I19)&lt;SUM(J19:J19)),"-","")</f>
        <v/>
      </c>
      <c r="L19" s="7" t="str">
        <f>IF(B19="Sonntag",ABS(SUM(I19:I19)-SUM(J19:J19)),"")</f>
        <v/>
      </c>
      <c r="M19" s="170"/>
      <c r="N19" s="170"/>
    </row>
    <row r="20" spans="1:14" ht="17.399999999999999" customHeight="1" x14ac:dyDescent="0.25">
      <c r="A20" s="55">
        <v>2</v>
      </c>
      <c r="B20" s="56" t="str">
        <f t="shared" si="0"/>
        <v>Samstag</v>
      </c>
      <c r="C20" s="4">
        <v>0.35416666666666669</v>
      </c>
      <c r="D20" s="4">
        <v>0.70833333333333337</v>
      </c>
      <c r="E20" s="4">
        <v>2.0833333333333332E-2</v>
      </c>
      <c r="F20" s="346">
        <f t="shared" ref="F20:F49" si="4">IF(OR(ISTEXT(C20),ISBLANK(C20)),"",D20-C20-E20)</f>
        <v>0.33333333333333337</v>
      </c>
      <c r="G20" s="347"/>
      <c r="H20" s="212">
        <f t="shared" si="2"/>
        <v>0</v>
      </c>
      <c r="I20" s="195" t="str">
        <f t="shared" ref="I20:I49" si="5">IF(OR(AND(F20&gt;H20,OR(B20&lt;&gt;"Samstag",H$56&gt;0),OR(B20&lt;&gt;"Sonntag",H$57&gt;0),AND(ISNONTEXT(C20),C20&lt;&gt;""))),F20-H20,"")</f>
        <v/>
      </c>
      <c r="J20" s="5" t="str">
        <f t="shared" si="3"/>
        <v/>
      </c>
      <c r="K20" s="8" t="str">
        <f>IF(AND(B20="Sonntag",SUM(I19:I20)&lt;SUM(J19:J20)),"-","")</f>
        <v/>
      </c>
      <c r="L20" s="9" t="str">
        <f>IF(B20="Sonntag",ABS(SUM(I19:I20)-SUM(J19:J20)),"")</f>
        <v/>
      </c>
      <c r="N20" s="170"/>
    </row>
    <row r="21" spans="1:14" ht="17.399999999999999" customHeight="1" x14ac:dyDescent="0.25">
      <c r="A21" s="55">
        <v>3</v>
      </c>
      <c r="B21" s="56" t="str">
        <f t="shared" si="0"/>
        <v>Sonntag</v>
      </c>
      <c r="C21" s="4">
        <v>0.35416666666666669</v>
      </c>
      <c r="D21" s="169">
        <v>0.70833333333333337</v>
      </c>
      <c r="E21" s="4">
        <v>2.0833333333333332E-2</v>
      </c>
      <c r="F21" s="346">
        <f t="shared" si="4"/>
        <v>0.33333333333333337</v>
      </c>
      <c r="G21" s="347"/>
      <c r="H21" s="212">
        <f t="shared" si="2"/>
        <v>0</v>
      </c>
      <c r="I21" s="195" t="str">
        <f t="shared" si="5"/>
        <v/>
      </c>
      <c r="J21" s="5" t="str">
        <f t="shared" si="3"/>
        <v/>
      </c>
      <c r="K21" s="8" t="str">
        <f>IF(AND(B21="Sonntag",SUM(I19:I21)&lt;SUM(J19:J21)),"-","")</f>
        <v/>
      </c>
      <c r="L21" s="9">
        <f>IF(B21="Sonntag",ABS(SUM(I19:I21)-SUM(J19:J21)),"")</f>
        <v>2.083333333333337E-2</v>
      </c>
      <c r="N21" s="170"/>
    </row>
    <row r="22" spans="1:14" ht="17.399999999999999" customHeight="1" x14ac:dyDescent="0.25">
      <c r="A22" s="55">
        <v>4</v>
      </c>
      <c r="B22" s="56" t="str">
        <f t="shared" si="0"/>
        <v>Montag</v>
      </c>
      <c r="C22" s="4">
        <v>0.35416666666666669</v>
      </c>
      <c r="D22" s="4">
        <v>0.70833333333333337</v>
      </c>
      <c r="E22" s="4">
        <v>2.0833333333333332E-2</v>
      </c>
      <c r="F22" s="346">
        <f t="shared" si="4"/>
        <v>0.33333333333333337</v>
      </c>
      <c r="G22" s="347"/>
      <c r="H22" s="212">
        <f t="shared" si="2"/>
        <v>0.33333333333333331</v>
      </c>
      <c r="I22" s="195" t="str">
        <f t="shared" si="5"/>
        <v/>
      </c>
      <c r="J22" s="5" t="str">
        <f t="shared" si="3"/>
        <v/>
      </c>
      <c r="K22" s="8" t="str">
        <f>IF(AND(B22="Sonntag",SUM(I19:I22)&lt;SUM(J19:J22)),"-","")</f>
        <v/>
      </c>
      <c r="L22" s="9" t="str">
        <f>IF(B22="Sonntag",ABS(SUM(I19:I22)-SUM(J19:J22)),"")</f>
        <v/>
      </c>
    </row>
    <row r="23" spans="1:14" ht="17.399999999999999" customHeight="1" x14ac:dyDescent="0.25">
      <c r="A23" s="55">
        <v>5</v>
      </c>
      <c r="B23" s="56" t="str">
        <f t="shared" si="0"/>
        <v>Dienstag</v>
      </c>
      <c r="C23" s="4">
        <v>0.35416666666666669</v>
      </c>
      <c r="D23" s="4">
        <v>0.70833333333333337</v>
      </c>
      <c r="E23" s="4">
        <v>2.0833333333333332E-2</v>
      </c>
      <c r="F23" s="346">
        <f t="shared" si="4"/>
        <v>0.33333333333333337</v>
      </c>
      <c r="G23" s="347"/>
      <c r="H23" s="212">
        <f t="shared" si="2"/>
        <v>0.33333333333333331</v>
      </c>
      <c r="I23" s="195" t="str">
        <f t="shared" si="5"/>
        <v/>
      </c>
      <c r="J23" s="5" t="str">
        <f t="shared" si="3"/>
        <v/>
      </c>
      <c r="K23" s="8" t="str">
        <f>IF(AND(B23="Sonntag",SUM(I19:I23)&lt;SUM(J19:J23)),"-","")</f>
        <v/>
      </c>
      <c r="L23" s="9" t="str">
        <f>IF(B23="Sonntag",ABS(SUM(I19:I23)-SUM(J19:J23)),"")</f>
        <v/>
      </c>
      <c r="N23" s="170"/>
    </row>
    <row r="24" spans="1:14" ht="17.399999999999999" customHeight="1" x14ac:dyDescent="0.25">
      <c r="A24" s="55">
        <v>6</v>
      </c>
      <c r="B24" s="56" t="str">
        <f t="shared" si="0"/>
        <v>Mittwoch</v>
      </c>
      <c r="C24" s="4">
        <v>0.35416666666666669</v>
      </c>
      <c r="D24" s="4">
        <v>0.70833333333333337</v>
      </c>
      <c r="E24" s="4">
        <v>2.0833333333333332E-2</v>
      </c>
      <c r="F24" s="346">
        <f t="shared" si="4"/>
        <v>0.33333333333333337</v>
      </c>
      <c r="G24" s="347"/>
      <c r="H24" s="212">
        <f t="shared" si="2"/>
        <v>0.33333333333333331</v>
      </c>
      <c r="I24" s="195" t="str">
        <f t="shared" si="5"/>
        <v/>
      </c>
      <c r="J24" s="5" t="str">
        <f t="shared" si="3"/>
        <v/>
      </c>
      <c r="K24" s="8" t="str">
        <f>IF(AND(B24="Sonntag",SUM(I19:I24)&lt;SUM(J19:J24)),"-","")</f>
        <v/>
      </c>
      <c r="L24" s="9" t="str">
        <f>IF(B24="Sonntag",ABS(SUM(I19:I24)-SUM(J19:J24)),"")</f>
        <v/>
      </c>
      <c r="N24" s="170"/>
    </row>
    <row r="25" spans="1:14" ht="17.399999999999999" customHeight="1" x14ac:dyDescent="0.25">
      <c r="A25" s="55">
        <v>7</v>
      </c>
      <c r="B25" s="56" t="str">
        <f t="shared" si="0"/>
        <v>Donnerstag</v>
      </c>
      <c r="C25" s="4">
        <v>0.35416666666666669</v>
      </c>
      <c r="D25" s="4">
        <v>0.70833333333333337</v>
      </c>
      <c r="E25" s="4">
        <v>2.0833333333333332E-2</v>
      </c>
      <c r="F25" s="346">
        <f t="shared" si="4"/>
        <v>0.33333333333333337</v>
      </c>
      <c r="G25" s="347"/>
      <c r="H25" s="212">
        <f t="shared" si="2"/>
        <v>0.33333333333333331</v>
      </c>
      <c r="I25" s="195" t="str">
        <f t="shared" si="5"/>
        <v/>
      </c>
      <c r="J25" s="5" t="str">
        <f t="shared" si="3"/>
        <v/>
      </c>
      <c r="K25" s="8" t="str">
        <f>IF(AND(B25="Sonntag",SUM(I19:I25)&lt;SUM(J19:J25)),"-","")</f>
        <v/>
      </c>
      <c r="L25" s="9" t="str">
        <f>IF(B25="Sonntag",ABS(SUM(I19:I25)-SUM(J19:J25)),"")</f>
        <v/>
      </c>
      <c r="N25" s="170"/>
    </row>
    <row r="26" spans="1:14" ht="17.399999999999999" customHeight="1" x14ac:dyDescent="0.25">
      <c r="A26" s="55">
        <v>8</v>
      </c>
      <c r="B26" s="56" t="str">
        <f t="shared" si="0"/>
        <v>Freitag</v>
      </c>
      <c r="C26" s="4">
        <v>0.35416666666666669</v>
      </c>
      <c r="D26" s="4">
        <v>0.70833333333333337</v>
      </c>
      <c r="E26" s="4">
        <v>2.0833333333333332E-2</v>
      </c>
      <c r="F26" s="346">
        <f t="shared" si="4"/>
        <v>0.33333333333333337</v>
      </c>
      <c r="G26" s="347"/>
      <c r="H26" s="212">
        <f t="shared" si="2"/>
        <v>0.3125</v>
      </c>
      <c r="I26" s="195">
        <f t="shared" si="5"/>
        <v>2.083333333333337E-2</v>
      </c>
      <c r="J26" s="5" t="str">
        <f t="shared" si="3"/>
        <v/>
      </c>
      <c r="K26" s="8" t="str">
        <f>IF(AND(B26="Sonntag",SUM(I20:I26)&lt;SUM(J20:J26)),"-","")</f>
        <v/>
      </c>
      <c r="L26" s="9" t="str">
        <f>IF(B26="Sonntag",ABS(SUM(I20:I26)-SUM(J20:J26)),"")</f>
        <v/>
      </c>
      <c r="N26" s="170"/>
    </row>
    <row r="27" spans="1:14" ht="17.399999999999999" customHeight="1" x14ac:dyDescent="0.25">
      <c r="A27" s="55">
        <v>9</v>
      </c>
      <c r="B27" s="56" t="str">
        <f t="shared" si="0"/>
        <v>Samstag</v>
      </c>
      <c r="C27" s="4">
        <v>0.35416666666666669</v>
      </c>
      <c r="D27" s="4">
        <v>0.70833333333333337</v>
      </c>
      <c r="E27" s="4">
        <v>2.0833333333333332E-2</v>
      </c>
      <c r="F27" s="346">
        <f t="shared" si="4"/>
        <v>0.33333333333333337</v>
      </c>
      <c r="G27" s="347"/>
      <c r="H27" s="212">
        <f t="shared" si="2"/>
        <v>0</v>
      </c>
      <c r="I27" s="195" t="str">
        <f t="shared" si="5"/>
        <v/>
      </c>
      <c r="J27" s="5" t="str">
        <f t="shared" si="3"/>
        <v/>
      </c>
      <c r="K27" s="8" t="str">
        <f>IF(AND(B27="Sonntag",SUM(I21:I27)&lt;SUM(J21:J27)),"-","")</f>
        <v/>
      </c>
      <c r="L27" s="9" t="str">
        <f>IF(B27="Sonntag",ABS(SUM(I21:I27)-SUM(J21:J27)),"")</f>
        <v/>
      </c>
      <c r="N27" s="170"/>
    </row>
    <row r="28" spans="1:14" ht="17.399999999999999" customHeight="1" x14ac:dyDescent="0.25">
      <c r="A28" s="55">
        <v>10</v>
      </c>
      <c r="B28" s="56" t="str">
        <f t="shared" si="0"/>
        <v>Sonntag</v>
      </c>
      <c r="C28" s="4">
        <v>0.35416666666666669</v>
      </c>
      <c r="D28" s="4">
        <v>0.70833333333333337</v>
      </c>
      <c r="E28" s="4">
        <v>2.0833333333333332E-2</v>
      </c>
      <c r="F28" s="346">
        <f t="shared" si="4"/>
        <v>0.33333333333333337</v>
      </c>
      <c r="G28" s="347"/>
      <c r="H28" s="212">
        <f t="shared" si="2"/>
        <v>0</v>
      </c>
      <c r="I28" s="195" t="str">
        <f t="shared" si="5"/>
        <v/>
      </c>
      <c r="J28" s="5" t="str">
        <f t="shared" si="3"/>
        <v/>
      </c>
      <c r="K28" s="8" t="str">
        <f t="shared" ref="K28:K47" si="6">IF(AND(B28="Sonntag",SUM(I22:I28)&lt;SUM(J22:J28)),"-","")</f>
        <v/>
      </c>
      <c r="L28" s="9">
        <f t="shared" ref="L28:L47" si="7">IF(B28="Sonntag",ABS(SUM(I22:I28)-SUM(J22:J28)),"")</f>
        <v>2.083333333333337E-2</v>
      </c>
      <c r="N28" s="170"/>
    </row>
    <row r="29" spans="1:14" ht="17.399999999999999" customHeight="1" x14ac:dyDescent="0.25">
      <c r="A29" s="55">
        <v>11</v>
      </c>
      <c r="B29" s="56" t="str">
        <f t="shared" si="0"/>
        <v>Montag</v>
      </c>
      <c r="C29" s="4">
        <v>0.35416666666666669</v>
      </c>
      <c r="D29" s="4">
        <v>0.70833333333333337</v>
      </c>
      <c r="E29" s="4">
        <v>2.0833333333333332E-2</v>
      </c>
      <c r="F29" s="346">
        <f t="shared" si="4"/>
        <v>0.33333333333333337</v>
      </c>
      <c r="G29" s="347"/>
      <c r="H29" s="212">
        <f t="shared" si="2"/>
        <v>0.33333333333333331</v>
      </c>
      <c r="I29" s="195" t="str">
        <f t="shared" si="5"/>
        <v/>
      </c>
      <c r="J29" s="5" t="str">
        <f t="shared" si="3"/>
        <v/>
      </c>
      <c r="K29" s="8" t="str">
        <f t="shared" si="6"/>
        <v/>
      </c>
      <c r="L29" s="9" t="str">
        <f t="shared" si="7"/>
        <v/>
      </c>
      <c r="N29" s="170"/>
    </row>
    <row r="30" spans="1:14" ht="17.399999999999999" customHeight="1" x14ac:dyDescent="0.25">
      <c r="A30" s="55">
        <v>12</v>
      </c>
      <c r="B30" s="56" t="str">
        <f t="shared" si="0"/>
        <v>Dienstag</v>
      </c>
      <c r="C30" s="4">
        <v>0.35416666666666669</v>
      </c>
      <c r="D30" s="4">
        <v>0.70833333333333337</v>
      </c>
      <c r="E30" s="4">
        <v>2.0833333333333332E-2</v>
      </c>
      <c r="F30" s="346">
        <f t="shared" si="4"/>
        <v>0.33333333333333337</v>
      </c>
      <c r="G30" s="347"/>
      <c r="H30" s="212">
        <f t="shared" si="2"/>
        <v>0.33333333333333331</v>
      </c>
      <c r="I30" s="195" t="str">
        <f t="shared" si="5"/>
        <v/>
      </c>
      <c r="J30" s="5" t="str">
        <f t="shared" si="3"/>
        <v/>
      </c>
      <c r="K30" s="8" t="str">
        <f t="shared" si="6"/>
        <v/>
      </c>
      <c r="L30" s="9" t="str">
        <f t="shared" si="7"/>
        <v/>
      </c>
      <c r="N30" s="170"/>
    </row>
    <row r="31" spans="1:14" ht="17.399999999999999" customHeight="1" x14ac:dyDescent="0.25">
      <c r="A31" s="55">
        <v>13</v>
      </c>
      <c r="B31" s="56" t="str">
        <f t="shared" si="0"/>
        <v>Mittwoch</v>
      </c>
      <c r="C31" s="4">
        <v>0.35416666666666669</v>
      </c>
      <c r="D31" s="4">
        <v>0.70833333333333337</v>
      </c>
      <c r="E31" s="4">
        <v>2.0833333333333332E-2</v>
      </c>
      <c r="F31" s="346">
        <f t="shared" si="4"/>
        <v>0.33333333333333337</v>
      </c>
      <c r="G31" s="347"/>
      <c r="H31" s="212">
        <f t="shared" si="2"/>
        <v>0.33333333333333331</v>
      </c>
      <c r="I31" s="195" t="str">
        <f t="shared" si="5"/>
        <v/>
      </c>
      <c r="J31" s="5" t="str">
        <f t="shared" si="3"/>
        <v/>
      </c>
      <c r="K31" s="8" t="str">
        <f t="shared" si="6"/>
        <v/>
      </c>
      <c r="L31" s="9" t="str">
        <f t="shared" si="7"/>
        <v/>
      </c>
      <c r="N31" s="170"/>
    </row>
    <row r="32" spans="1:14" ht="17.399999999999999" customHeight="1" x14ac:dyDescent="0.25">
      <c r="A32" s="55">
        <v>14</v>
      </c>
      <c r="B32" s="56" t="str">
        <f t="shared" si="0"/>
        <v>Donnerstag</v>
      </c>
      <c r="C32" s="4">
        <v>0.35416666666666669</v>
      </c>
      <c r="D32" s="4">
        <v>0.70833333333333337</v>
      </c>
      <c r="E32" s="4">
        <v>2.0833333333333332E-2</v>
      </c>
      <c r="F32" s="346">
        <f t="shared" si="4"/>
        <v>0.33333333333333337</v>
      </c>
      <c r="G32" s="347"/>
      <c r="H32" s="212">
        <f t="shared" si="2"/>
        <v>0.33333333333333331</v>
      </c>
      <c r="I32" s="195" t="str">
        <f t="shared" si="5"/>
        <v/>
      </c>
      <c r="J32" s="5" t="str">
        <f t="shared" si="3"/>
        <v/>
      </c>
      <c r="K32" s="8" t="str">
        <f t="shared" si="6"/>
        <v/>
      </c>
      <c r="L32" s="9" t="str">
        <f t="shared" si="7"/>
        <v/>
      </c>
      <c r="N32" s="170"/>
    </row>
    <row r="33" spans="1:14" ht="17.399999999999999" customHeight="1" x14ac:dyDescent="0.25">
      <c r="A33" s="55">
        <v>15</v>
      </c>
      <c r="B33" s="56" t="str">
        <f t="shared" si="0"/>
        <v>Freitag</v>
      </c>
      <c r="C33" s="4">
        <v>0.35416666666666669</v>
      </c>
      <c r="D33" s="4">
        <v>0.70833333333333337</v>
      </c>
      <c r="E33" s="4">
        <v>2.0833333333333332E-2</v>
      </c>
      <c r="F33" s="346">
        <f t="shared" si="4"/>
        <v>0.33333333333333337</v>
      </c>
      <c r="G33" s="347"/>
      <c r="H33" s="212">
        <f t="shared" si="2"/>
        <v>0.3125</v>
      </c>
      <c r="I33" s="195">
        <f t="shared" si="5"/>
        <v>2.083333333333337E-2</v>
      </c>
      <c r="J33" s="5" t="str">
        <f t="shared" si="3"/>
        <v/>
      </c>
      <c r="K33" s="8" t="str">
        <f t="shared" si="6"/>
        <v/>
      </c>
      <c r="L33" s="9" t="str">
        <f t="shared" si="7"/>
        <v/>
      </c>
      <c r="N33" s="170"/>
    </row>
    <row r="34" spans="1:14" ht="17.399999999999999" customHeight="1" x14ac:dyDescent="0.25">
      <c r="A34" s="55">
        <v>16</v>
      </c>
      <c r="B34" s="56" t="str">
        <f t="shared" si="0"/>
        <v>Samstag</v>
      </c>
      <c r="C34" s="4">
        <v>0.35416666666666669</v>
      </c>
      <c r="D34" s="4">
        <v>0.70833333333333337</v>
      </c>
      <c r="E34" s="4">
        <v>2.0833333333333332E-2</v>
      </c>
      <c r="F34" s="346">
        <f t="shared" si="4"/>
        <v>0.33333333333333337</v>
      </c>
      <c r="G34" s="347"/>
      <c r="H34" s="212">
        <f t="shared" si="2"/>
        <v>0</v>
      </c>
      <c r="I34" s="195" t="str">
        <f t="shared" si="5"/>
        <v/>
      </c>
      <c r="J34" s="5" t="str">
        <f t="shared" si="3"/>
        <v/>
      </c>
      <c r="K34" s="8" t="str">
        <f t="shared" si="6"/>
        <v/>
      </c>
      <c r="L34" s="9" t="str">
        <f t="shared" si="7"/>
        <v/>
      </c>
      <c r="N34" s="170"/>
    </row>
    <row r="35" spans="1:14" ht="17.399999999999999" customHeight="1" x14ac:dyDescent="0.25">
      <c r="A35" s="55">
        <v>17</v>
      </c>
      <c r="B35" s="56" t="str">
        <f t="shared" si="0"/>
        <v>Sonntag</v>
      </c>
      <c r="C35" s="4">
        <v>0.35416666666666669</v>
      </c>
      <c r="D35" s="4">
        <v>0.70833333333333337</v>
      </c>
      <c r="E35" s="4">
        <v>2.0833333333333332E-2</v>
      </c>
      <c r="F35" s="346">
        <f t="shared" si="4"/>
        <v>0.33333333333333337</v>
      </c>
      <c r="G35" s="347"/>
      <c r="H35" s="212">
        <f t="shared" si="2"/>
        <v>0</v>
      </c>
      <c r="I35" s="195" t="str">
        <f t="shared" si="5"/>
        <v/>
      </c>
      <c r="J35" s="5" t="str">
        <f t="shared" si="3"/>
        <v/>
      </c>
      <c r="K35" s="8" t="str">
        <f t="shared" si="6"/>
        <v/>
      </c>
      <c r="L35" s="9">
        <f t="shared" si="7"/>
        <v>2.083333333333337E-2</v>
      </c>
      <c r="N35" s="170"/>
    </row>
    <row r="36" spans="1:14" ht="17.399999999999999" customHeight="1" x14ac:dyDescent="0.25">
      <c r="A36" s="55">
        <v>18</v>
      </c>
      <c r="B36" s="56" t="str">
        <f t="shared" si="0"/>
        <v>Montag</v>
      </c>
      <c r="C36" s="4">
        <v>0.35416666666666669</v>
      </c>
      <c r="D36" s="4">
        <v>0.70833333333333337</v>
      </c>
      <c r="E36" s="4">
        <v>2.0833333333333332E-2</v>
      </c>
      <c r="F36" s="346">
        <f t="shared" si="4"/>
        <v>0.33333333333333337</v>
      </c>
      <c r="G36" s="347"/>
      <c r="H36" s="212">
        <f t="shared" si="2"/>
        <v>0.33333333333333331</v>
      </c>
      <c r="I36" s="195" t="str">
        <f t="shared" si="5"/>
        <v/>
      </c>
      <c r="J36" s="5" t="str">
        <f t="shared" si="3"/>
        <v/>
      </c>
      <c r="K36" s="8" t="str">
        <f t="shared" si="6"/>
        <v/>
      </c>
      <c r="L36" s="9" t="str">
        <f t="shared" si="7"/>
        <v/>
      </c>
      <c r="N36" s="170"/>
    </row>
    <row r="37" spans="1:14" ht="17.399999999999999" customHeight="1" x14ac:dyDescent="0.25">
      <c r="A37" s="55">
        <v>19</v>
      </c>
      <c r="B37" s="56" t="str">
        <f t="shared" si="0"/>
        <v>Dienstag</v>
      </c>
      <c r="C37" s="4">
        <v>0.35416666666666669</v>
      </c>
      <c r="D37" s="4">
        <v>0.70833333333333337</v>
      </c>
      <c r="E37" s="4">
        <v>2.0833333333333332E-2</v>
      </c>
      <c r="F37" s="346">
        <f t="shared" si="4"/>
        <v>0.33333333333333337</v>
      </c>
      <c r="G37" s="347"/>
      <c r="H37" s="212">
        <f t="shared" si="2"/>
        <v>0.33333333333333331</v>
      </c>
      <c r="I37" s="195" t="str">
        <f t="shared" si="5"/>
        <v/>
      </c>
      <c r="J37" s="5" t="str">
        <f t="shared" si="3"/>
        <v/>
      </c>
      <c r="K37" s="8" t="str">
        <f t="shared" si="6"/>
        <v/>
      </c>
      <c r="L37" s="9" t="str">
        <f t="shared" si="7"/>
        <v/>
      </c>
      <c r="N37" s="170"/>
    </row>
    <row r="38" spans="1:14" ht="17.399999999999999" customHeight="1" x14ac:dyDescent="0.25">
      <c r="A38" s="55">
        <v>20</v>
      </c>
      <c r="B38" s="56" t="str">
        <f t="shared" si="0"/>
        <v>Mittwoch</v>
      </c>
      <c r="C38" s="4">
        <v>0.35416666666666669</v>
      </c>
      <c r="D38" s="4">
        <v>0.70833333333333337</v>
      </c>
      <c r="E38" s="4">
        <v>2.0833333333333332E-2</v>
      </c>
      <c r="F38" s="346">
        <f t="shared" si="4"/>
        <v>0.33333333333333337</v>
      </c>
      <c r="G38" s="347"/>
      <c r="H38" s="212">
        <f t="shared" si="2"/>
        <v>0.33333333333333331</v>
      </c>
      <c r="I38" s="195" t="str">
        <f t="shared" si="5"/>
        <v/>
      </c>
      <c r="J38" s="5" t="str">
        <f t="shared" si="3"/>
        <v/>
      </c>
      <c r="K38" s="8" t="str">
        <f t="shared" si="6"/>
        <v/>
      </c>
      <c r="L38" s="9" t="str">
        <f t="shared" si="7"/>
        <v/>
      </c>
      <c r="N38" s="170"/>
    </row>
    <row r="39" spans="1:14" ht="17.399999999999999" customHeight="1" x14ac:dyDescent="0.25">
      <c r="A39" s="55">
        <v>21</v>
      </c>
      <c r="B39" s="56" t="str">
        <f t="shared" si="0"/>
        <v>Donnerstag</v>
      </c>
      <c r="C39" s="4">
        <v>0.35416666666666669</v>
      </c>
      <c r="D39" s="4">
        <v>0.70833333333333337</v>
      </c>
      <c r="E39" s="4">
        <v>2.0833333333333332E-2</v>
      </c>
      <c r="F39" s="346">
        <f t="shared" si="4"/>
        <v>0.33333333333333337</v>
      </c>
      <c r="G39" s="347"/>
      <c r="H39" s="212">
        <f t="shared" si="2"/>
        <v>0.33333333333333331</v>
      </c>
      <c r="I39" s="195" t="str">
        <f t="shared" si="5"/>
        <v/>
      </c>
      <c r="J39" s="5" t="str">
        <f t="shared" si="3"/>
        <v/>
      </c>
      <c r="K39" s="8" t="str">
        <f t="shared" si="6"/>
        <v/>
      </c>
      <c r="L39" s="9" t="str">
        <f t="shared" si="7"/>
        <v/>
      </c>
      <c r="N39" s="170"/>
    </row>
    <row r="40" spans="1:14" ht="17.399999999999999" customHeight="1" x14ac:dyDescent="0.25">
      <c r="A40" s="55">
        <v>22</v>
      </c>
      <c r="B40" s="56" t="str">
        <f t="shared" si="0"/>
        <v>Freitag</v>
      </c>
      <c r="C40" s="4">
        <v>0.35416666666666669</v>
      </c>
      <c r="D40" s="4">
        <v>0.70833333333333337</v>
      </c>
      <c r="E40" s="4">
        <v>2.0833333333333332E-2</v>
      </c>
      <c r="F40" s="346">
        <f t="shared" si="4"/>
        <v>0.33333333333333337</v>
      </c>
      <c r="G40" s="347"/>
      <c r="H40" s="212">
        <f t="shared" si="2"/>
        <v>0.3125</v>
      </c>
      <c r="I40" s="195">
        <f t="shared" si="5"/>
        <v>2.083333333333337E-2</v>
      </c>
      <c r="J40" s="5" t="str">
        <f t="shared" si="3"/>
        <v/>
      </c>
      <c r="K40" s="8" t="str">
        <f t="shared" si="6"/>
        <v/>
      </c>
      <c r="L40" s="9" t="str">
        <f t="shared" si="7"/>
        <v/>
      </c>
      <c r="N40" s="170"/>
    </row>
    <row r="41" spans="1:14" ht="17.399999999999999" customHeight="1" x14ac:dyDescent="0.25">
      <c r="A41" s="55">
        <v>23</v>
      </c>
      <c r="B41" s="56" t="str">
        <f t="shared" si="0"/>
        <v>Samstag</v>
      </c>
      <c r="C41" s="4">
        <v>0.35416666666666669</v>
      </c>
      <c r="D41" s="4">
        <v>0.70833333333333337</v>
      </c>
      <c r="E41" s="4">
        <v>2.0833333333333332E-2</v>
      </c>
      <c r="F41" s="346">
        <f t="shared" si="4"/>
        <v>0.33333333333333337</v>
      </c>
      <c r="G41" s="347"/>
      <c r="H41" s="212">
        <f t="shared" si="2"/>
        <v>0</v>
      </c>
      <c r="I41" s="195" t="str">
        <f t="shared" si="5"/>
        <v/>
      </c>
      <c r="J41" s="5" t="str">
        <f t="shared" si="3"/>
        <v/>
      </c>
      <c r="K41" s="8" t="str">
        <f t="shared" si="6"/>
        <v/>
      </c>
      <c r="L41" s="9" t="str">
        <f t="shared" si="7"/>
        <v/>
      </c>
      <c r="N41" s="299" t="s">
        <v>131</v>
      </c>
    </row>
    <row r="42" spans="1:14" ht="17.399999999999999" customHeight="1" x14ac:dyDescent="0.25">
      <c r="A42" s="55">
        <v>24</v>
      </c>
      <c r="B42" s="56" t="str">
        <f t="shared" si="0"/>
        <v>Sonntag</v>
      </c>
      <c r="C42" s="4">
        <v>0.35416666666666669</v>
      </c>
      <c r="D42" s="4">
        <v>0.70833333333333337</v>
      </c>
      <c r="E42" s="4">
        <v>2.0833333333333332E-2</v>
      </c>
      <c r="F42" s="346">
        <f t="shared" si="4"/>
        <v>0.33333333333333337</v>
      </c>
      <c r="G42" s="347"/>
      <c r="H42" s="212">
        <f t="shared" si="2"/>
        <v>0</v>
      </c>
      <c r="I42" s="195" t="str">
        <f t="shared" si="5"/>
        <v/>
      </c>
      <c r="J42" s="5" t="str">
        <f t="shared" si="3"/>
        <v/>
      </c>
      <c r="K42" s="8" t="str">
        <f t="shared" si="6"/>
        <v/>
      </c>
      <c r="L42" s="9">
        <f t="shared" si="7"/>
        <v>2.083333333333337E-2</v>
      </c>
      <c r="N42" s="170"/>
    </row>
    <row r="43" spans="1:14" ht="17.399999999999999" customHeight="1" x14ac:dyDescent="0.3">
      <c r="A43" s="55">
        <v>25</v>
      </c>
      <c r="B43" s="56" t="str">
        <f t="shared" si="0"/>
        <v>Montag</v>
      </c>
      <c r="C43" s="4">
        <v>0.35416666666666669</v>
      </c>
      <c r="D43" s="4">
        <v>0.70833333333333337</v>
      </c>
      <c r="E43" s="4">
        <v>2.0833333333333332E-2</v>
      </c>
      <c r="F43" s="346">
        <f t="shared" si="4"/>
        <v>0.33333333333333337</v>
      </c>
      <c r="G43" s="347"/>
      <c r="H43" s="238">
        <f t="shared" si="2"/>
        <v>0.33333333333333331</v>
      </c>
      <c r="I43" s="195" t="str">
        <f t="shared" si="5"/>
        <v/>
      </c>
      <c r="J43" s="5" t="str">
        <f t="shared" si="3"/>
        <v/>
      </c>
      <c r="K43" s="8" t="str">
        <f t="shared" si="6"/>
        <v/>
      </c>
      <c r="L43" s="9" t="str">
        <f t="shared" si="7"/>
        <v/>
      </c>
      <c r="M43" s="241"/>
      <c r="N43" s="170"/>
    </row>
    <row r="44" spans="1:14" ht="17.399999999999999" customHeight="1" x14ac:dyDescent="0.25">
      <c r="A44" s="55">
        <v>26</v>
      </c>
      <c r="B44" s="56" t="str">
        <f t="shared" si="0"/>
        <v>Dienstag</v>
      </c>
      <c r="C44" s="4">
        <v>0.35416666666666669</v>
      </c>
      <c r="D44" s="4">
        <v>0.70833333333333337</v>
      </c>
      <c r="E44" s="4">
        <v>2.0833333333333332E-2</v>
      </c>
      <c r="F44" s="346">
        <f t="shared" si="4"/>
        <v>0.33333333333333337</v>
      </c>
      <c r="G44" s="347"/>
      <c r="H44" s="212">
        <f t="shared" si="2"/>
        <v>0.33333333333333331</v>
      </c>
      <c r="I44" s="195" t="str">
        <f t="shared" si="5"/>
        <v/>
      </c>
      <c r="J44" s="5" t="str">
        <f t="shared" si="3"/>
        <v/>
      </c>
      <c r="K44" s="8" t="str">
        <f t="shared" si="6"/>
        <v/>
      </c>
      <c r="L44" s="9" t="str">
        <f t="shared" si="7"/>
        <v/>
      </c>
      <c r="N44" s="299"/>
    </row>
    <row r="45" spans="1:14" ht="17.399999999999999" customHeight="1" x14ac:dyDescent="0.3">
      <c r="A45" s="55">
        <v>27</v>
      </c>
      <c r="B45" s="56" t="str">
        <f t="shared" si="0"/>
        <v>Mittwoch</v>
      </c>
      <c r="C45" s="4">
        <v>0.35416666666666669</v>
      </c>
      <c r="D45" s="4">
        <v>0.70833333333333337</v>
      </c>
      <c r="E45" s="4">
        <v>2.0833333333333332E-2</v>
      </c>
      <c r="F45" s="346">
        <f t="shared" si="4"/>
        <v>0.33333333333333337</v>
      </c>
      <c r="G45" s="347"/>
      <c r="H45" s="212">
        <f t="shared" si="2"/>
        <v>0.33333333333333331</v>
      </c>
      <c r="I45" s="195" t="str">
        <f t="shared" si="5"/>
        <v/>
      </c>
      <c r="J45" s="5" t="str">
        <f t="shared" si="3"/>
        <v/>
      </c>
      <c r="K45" s="8" t="str">
        <f t="shared" si="6"/>
        <v/>
      </c>
      <c r="L45" s="9" t="str">
        <f t="shared" si="7"/>
        <v/>
      </c>
      <c r="M45" s="241"/>
      <c r="N45" s="170"/>
    </row>
    <row r="46" spans="1:14" ht="17.399999999999999" customHeight="1" x14ac:dyDescent="0.3">
      <c r="A46" s="55">
        <v>28</v>
      </c>
      <c r="B46" s="56" t="str">
        <f t="shared" si="0"/>
        <v>Donnerstag</v>
      </c>
      <c r="C46" s="4">
        <v>0.35416666666666669</v>
      </c>
      <c r="D46" s="4">
        <v>0.70833333333333337</v>
      </c>
      <c r="E46" s="4">
        <v>2.0833333333333332E-2</v>
      </c>
      <c r="F46" s="346">
        <f t="shared" si="4"/>
        <v>0.33333333333333337</v>
      </c>
      <c r="G46" s="347"/>
      <c r="H46" s="212">
        <f t="shared" si="2"/>
        <v>0.33333333333333331</v>
      </c>
      <c r="I46" s="195" t="str">
        <f t="shared" si="5"/>
        <v/>
      </c>
      <c r="J46" s="5" t="str">
        <f t="shared" si="3"/>
        <v/>
      </c>
      <c r="K46" s="8" t="str">
        <f t="shared" si="6"/>
        <v/>
      </c>
      <c r="L46" s="9" t="str">
        <f t="shared" si="7"/>
        <v/>
      </c>
      <c r="M46" s="241"/>
      <c r="N46" s="170"/>
    </row>
    <row r="47" spans="1:14" ht="17.399999999999999" customHeight="1" x14ac:dyDescent="0.25">
      <c r="A47" s="55">
        <v>29</v>
      </c>
      <c r="B47" s="56" t="str">
        <f t="shared" si="0"/>
        <v>Freitag</v>
      </c>
      <c r="C47" s="4" t="s">
        <v>96</v>
      </c>
      <c r="D47" s="4"/>
      <c r="E47" s="4"/>
      <c r="F47" s="346" t="str">
        <f t="shared" si="4"/>
        <v/>
      </c>
      <c r="G47" s="347"/>
      <c r="H47" s="212" t="str">
        <f t="shared" si="2"/>
        <v/>
      </c>
      <c r="I47" s="195" t="str">
        <f t="shared" si="5"/>
        <v/>
      </c>
      <c r="J47" s="5" t="str">
        <f t="shared" si="3"/>
        <v/>
      </c>
      <c r="K47" s="8" t="str">
        <f t="shared" si="6"/>
        <v/>
      </c>
      <c r="L47" s="9" t="str">
        <f t="shared" si="7"/>
        <v/>
      </c>
      <c r="N47" s="299" t="s">
        <v>124</v>
      </c>
    </row>
    <row r="48" spans="1:14" ht="17.399999999999999" customHeight="1" x14ac:dyDescent="0.25">
      <c r="A48" s="55">
        <v>30</v>
      </c>
      <c r="B48" s="56" t="str">
        <f t="shared" si="0"/>
        <v>Samstag</v>
      </c>
      <c r="C48" s="4">
        <v>0.35416666666666669</v>
      </c>
      <c r="D48" s="4">
        <v>0.70833333333333337</v>
      </c>
      <c r="E48" s="4">
        <v>2.0833333333333332E-2</v>
      </c>
      <c r="F48" s="346">
        <f t="shared" si="4"/>
        <v>0.33333333333333337</v>
      </c>
      <c r="G48" s="347"/>
      <c r="H48" s="212">
        <f t="shared" si="2"/>
        <v>0</v>
      </c>
      <c r="I48" s="195" t="str">
        <f t="shared" si="5"/>
        <v/>
      </c>
      <c r="J48" s="5" t="str">
        <f t="shared" si="3"/>
        <v/>
      </c>
      <c r="K48" s="8" t="str">
        <f>IF(AND(B48="Sonntag",SUM(I42:I48)&lt;SUM(J42:J48)),"-","")</f>
        <v/>
      </c>
      <c r="L48" s="9" t="str">
        <f>IF(B48="Sonntag",ABS(SUM(I42:I48)-SUM(J42:J48)),"")</f>
        <v/>
      </c>
      <c r="M48" s="242"/>
      <c r="N48" s="170"/>
    </row>
    <row r="49" spans="1:14" ht="17.399999999999999" customHeight="1" x14ac:dyDescent="0.3">
      <c r="A49" s="55">
        <v>31</v>
      </c>
      <c r="B49" s="56" t="str">
        <f t="shared" si="0"/>
        <v>Sonntag</v>
      </c>
      <c r="C49" s="4">
        <v>0.35416666666666669</v>
      </c>
      <c r="D49" s="4">
        <v>0.70833333333333337</v>
      </c>
      <c r="E49" s="4">
        <v>2.0833333333333332E-2</v>
      </c>
      <c r="F49" s="346">
        <f t="shared" si="4"/>
        <v>0.33333333333333337</v>
      </c>
      <c r="G49" s="347"/>
      <c r="H49" s="212">
        <f t="shared" si="2"/>
        <v>0</v>
      </c>
      <c r="I49" s="195" t="str">
        <f t="shared" si="5"/>
        <v/>
      </c>
      <c r="J49" s="5" t="str">
        <f t="shared" si="3"/>
        <v/>
      </c>
      <c r="K49" s="10" t="str">
        <f ca="1">IF(SUM(INDIRECT("I"&amp;ROW()-WEEKDAY(CONCATENATE(A49,".",I$11," ",J$11),3)):I49) &lt; SUM(INDIRECT("j"&amp;ROW()-WEEKDAY(CONCATENATE(A49,".",I$11," ",J$11),3)):J49),"-","")</f>
        <v/>
      </c>
      <c r="L49" s="11">
        <f ca="1">ABS(SUM(INDIRECT("I"&amp;ROW()-WEEKDAY(CONCATENATE(A49,".",I$11," ",J$11),3)):I49)-SUM(INDIRECT("j"&amp;ROW()-WEEKDAY(CONCATENATE(A49,".",I$11," ",J$11),3)):J49))</f>
        <v>0</v>
      </c>
      <c r="N49" s="299" t="s">
        <v>127</v>
      </c>
    </row>
    <row r="50" spans="1:14" s="68" customFormat="1" ht="17.399999999999999" customHeight="1" thickBot="1" x14ac:dyDescent="0.3">
      <c r="A50" s="59" t="str">
        <f>Jan!A50</f>
        <v>Sonstige Zeiten laut beigefügter Aufstellung (s. Anlage):</v>
      </c>
      <c r="B50" s="88"/>
      <c r="C50" s="89"/>
      <c r="D50" s="62"/>
      <c r="E50" s="62"/>
      <c r="F50" s="62"/>
      <c r="G50" s="62"/>
      <c r="H50" s="63"/>
      <c r="I50" s="219">
        <v>0</v>
      </c>
      <c r="J50" s="220">
        <v>0</v>
      </c>
      <c r="K50" s="66"/>
      <c r="L50" s="67"/>
      <c r="M50" s="244"/>
      <c r="N50" s="171"/>
    </row>
    <row r="51" spans="1:14" x14ac:dyDescent="0.25">
      <c r="A51" s="338" t="s">
        <v>3</v>
      </c>
      <c r="B51" s="338"/>
      <c r="C51" s="338"/>
      <c r="D51" s="338"/>
      <c r="H51" s="69">
        <f>Feb!H51</f>
        <v>0.33333333333333331</v>
      </c>
      <c r="I51" s="351">
        <f>SUM(I17:I50)</f>
        <v>0.25000000000000044</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Feb!H52</f>
        <v>0.33333333333333331</v>
      </c>
      <c r="I52" s="352"/>
      <c r="J52" s="352"/>
      <c r="K52" s="334"/>
      <c r="L52" s="336"/>
    </row>
    <row r="53" spans="1:14" x14ac:dyDescent="0.25">
      <c r="A53" s="339"/>
      <c r="B53" s="339"/>
      <c r="C53" s="339"/>
      <c r="D53" s="339"/>
      <c r="G53" s="71"/>
      <c r="H53" s="69">
        <f>Feb!H53</f>
        <v>0.33333333333333331</v>
      </c>
      <c r="I53" s="344">
        <f>IF(I51&gt;J51,I51-J51,0)</f>
        <v>0.25000000000000044</v>
      </c>
      <c r="J53" s="342" t="str">
        <f>IF(J51&gt;I51,J51-I51,"")</f>
        <v/>
      </c>
      <c r="K53" s="170"/>
      <c r="L53" s="170"/>
    </row>
    <row r="54" spans="1:14" ht="13.5" thickBot="1" x14ac:dyDescent="0.35">
      <c r="A54" s="341" t="s">
        <v>15</v>
      </c>
      <c r="B54" s="341"/>
      <c r="C54" s="341"/>
      <c r="D54" s="341"/>
      <c r="E54" s="72"/>
      <c r="F54" s="72"/>
      <c r="G54" s="70" t="s">
        <v>13</v>
      </c>
      <c r="H54" s="69">
        <f>Feb!H54</f>
        <v>0.33333333333333331</v>
      </c>
      <c r="I54" s="345"/>
      <c r="J54" s="343"/>
      <c r="K54" s="170"/>
      <c r="L54" s="170"/>
    </row>
    <row r="55" spans="1:14" x14ac:dyDescent="0.25">
      <c r="A55" s="338" t="s">
        <v>4</v>
      </c>
      <c r="B55" s="338"/>
      <c r="C55" s="338"/>
      <c r="D55" s="338"/>
      <c r="E55" s="72"/>
      <c r="F55" s="72"/>
      <c r="G55" s="72"/>
      <c r="H55" s="69">
        <f>Feb!H55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IF(Mantelbogen!D26=I11,Mantelbogen!C29,Feb!G58))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2">
    <mergeCell ref="A11:B11"/>
    <mergeCell ref="A13:B13"/>
    <mergeCell ref="A15:A18"/>
    <mergeCell ref="B15:B18"/>
    <mergeCell ref="G1:J7"/>
    <mergeCell ref="C3:D3"/>
    <mergeCell ref="A4:E6"/>
    <mergeCell ref="I15:J15"/>
    <mergeCell ref="I17:I18"/>
    <mergeCell ref="J17:J18"/>
    <mergeCell ref="C15:C18"/>
    <mergeCell ref="D15:D18"/>
    <mergeCell ref="E15:E18"/>
    <mergeCell ref="F15:G18"/>
    <mergeCell ref="F24:G24"/>
    <mergeCell ref="H15:H18"/>
    <mergeCell ref="F25:G25"/>
    <mergeCell ref="F20:G20"/>
    <mergeCell ref="F19:G19"/>
    <mergeCell ref="F22:G22"/>
    <mergeCell ref="F23:G23"/>
    <mergeCell ref="F21:G21"/>
    <mergeCell ref="F32:G32"/>
    <mergeCell ref="F33:G33"/>
    <mergeCell ref="F34:G34"/>
    <mergeCell ref="F35:G35"/>
    <mergeCell ref="F26:G26"/>
    <mergeCell ref="F29:G29"/>
    <mergeCell ref="F30:G30"/>
    <mergeCell ref="F31:G31"/>
    <mergeCell ref="F27:G27"/>
    <mergeCell ref="F28:G28"/>
    <mergeCell ref="F43:G43"/>
    <mergeCell ref="F36:G36"/>
    <mergeCell ref="F37:G37"/>
    <mergeCell ref="F38:G38"/>
    <mergeCell ref="F39:G39"/>
    <mergeCell ref="A54:D54"/>
    <mergeCell ref="G60:I60"/>
    <mergeCell ref="A55:D55"/>
    <mergeCell ref="A56:D57"/>
    <mergeCell ref="I56:J58"/>
    <mergeCell ref="A58:D58"/>
    <mergeCell ref="J53:J54"/>
    <mergeCell ref="I53:I54"/>
    <mergeCell ref="A52:D53"/>
    <mergeCell ref="F48:G48"/>
    <mergeCell ref="F49:G49"/>
    <mergeCell ref="A51:D51"/>
    <mergeCell ref="I51:I52"/>
    <mergeCell ref="K15:L16"/>
    <mergeCell ref="K17:L18"/>
    <mergeCell ref="K51:K52"/>
    <mergeCell ref="L51:L52"/>
    <mergeCell ref="J51:J52"/>
    <mergeCell ref="F44:G44"/>
    <mergeCell ref="F45:G45"/>
    <mergeCell ref="F46:G46"/>
    <mergeCell ref="F47:G47"/>
    <mergeCell ref="F40:G40"/>
    <mergeCell ref="F41:G41"/>
    <mergeCell ref="F42:G42"/>
  </mergeCells>
  <phoneticPr fontId="0" type="noConversion"/>
  <conditionalFormatting sqref="C19:C49">
    <cfRule type="expression" dxfId="69" priority="2">
      <formula>ISTEXT($C19)</formula>
    </cfRule>
  </conditionalFormatting>
  <conditionalFormatting sqref="E19:E49">
    <cfRule type="expression" dxfId="68" priority="10">
      <formula>AND(ISNONTEXT($C19), OR(AND($F19 &gt; 0.250001, $E19 &lt; 0.020833332), AND($F19 &gt; 0.375, $E19 &lt; 0.03124999)  ) )</formula>
    </cfRule>
  </conditionalFormatting>
  <conditionalFormatting sqref="A19:L49">
    <cfRule type="expression" dxfId="67" priority="1">
      <formula>OR($B19="Samstag", $B19="Sonntag", NOT( ISERROR(FIND("feiertag",LOWER($C19)) ) ),  NOT( ISERROR(FIND("oster",LOWER($C19)) ) ) )</formula>
    </cfRule>
  </conditionalFormatting>
  <conditionalFormatting sqref="F19:F49">
    <cfRule type="expression" dxfId="66" priority="21">
      <formula>AND(ISNONTEXT($C19),$F19 &gt; 0.666667)</formula>
    </cfRule>
  </conditionalFormatting>
  <conditionalFormatting sqref="C19:I49">
    <cfRule type="expression" dxfId="65" priority="4">
      <formula>AND($B19="Samstag", $H$56&gt;0.00001)</formula>
    </cfRule>
    <cfRule type="expression" dxfId="64" priority="5">
      <formula>AND($B19="Sonntag", $H$57&gt;0.00001)</formula>
    </cfRule>
  </conditionalFormatting>
  <conditionalFormatting sqref="C19:J49">
    <cfRule type="expression" dxfId="63"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N62"/>
  <sheetViews>
    <sheetView topLeftCell="A28" zoomScaleNormal="100" workbookViewId="0">
      <selection activeCell="N26" sqref="N26"/>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54296875" style="18" customWidth="1"/>
    <col min="8" max="8" width="9.08984375" style="18" customWidth="1"/>
    <col min="9" max="9" width="10.08984375" style="18" customWidth="1"/>
    <col min="10" max="10" width="10.36328125" style="18" customWidth="1"/>
    <col min="11" max="11" width="2.90625" style="18" customWidth="1"/>
    <col min="12" max="12" width="8.90625" style="18" customWidth="1"/>
    <col min="13" max="13" width="16.36328125" style="170" customWidth="1"/>
    <col min="14" max="14" width="18.1796875" style="170" customWidth="1"/>
    <col min="15" max="16384" width="11.54296875" style="18"/>
  </cols>
  <sheetData>
    <row r="1" spans="1:14" ht="15.5" x14ac:dyDescent="0.35">
      <c r="A1" s="15" t="s">
        <v>72</v>
      </c>
      <c r="B1" s="16"/>
      <c r="C1" s="16"/>
      <c r="D1" s="16"/>
      <c r="E1" s="16"/>
      <c r="F1" s="17"/>
      <c r="G1" s="359" t="s">
        <v>9</v>
      </c>
      <c r="H1" s="359"/>
      <c r="I1" s="359"/>
      <c r="J1" s="359"/>
    </row>
    <row r="2" spans="1:14" ht="15.5" x14ac:dyDescent="0.35">
      <c r="A2" s="16"/>
      <c r="B2" s="16"/>
      <c r="C2" s="16"/>
      <c r="D2" s="16"/>
      <c r="E2" s="16"/>
      <c r="F2" s="19"/>
      <c r="G2" s="359"/>
      <c r="H2" s="359"/>
      <c r="I2" s="359"/>
      <c r="J2" s="359"/>
    </row>
    <row r="3" spans="1:14" x14ac:dyDescent="0.25">
      <c r="C3" s="380" t="s">
        <v>11</v>
      </c>
      <c r="D3" s="380"/>
      <c r="G3" s="359"/>
      <c r="H3" s="359"/>
      <c r="I3" s="359"/>
      <c r="J3" s="359"/>
    </row>
    <row r="4" spans="1:14" ht="13.25" customHeight="1" x14ac:dyDescent="0.25">
      <c r="A4" s="361" t="s">
        <v>5</v>
      </c>
      <c r="B4" s="361"/>
      <c r="C4" s="361"/>
      <c r="D4" s="361"/>
      <c r="E4" s="361"/>
      <c r="F4" s="22"/>
      <c r="G4" s="359"/>
      <c r="H4" s="359"/>
      <c r="I4" s="359"/>
      <c r="J4" s="359"/>
    </row>
    <row r="5" spans="1:14" ht="6" customHeight="1" x14ac:dyDescent="0.25">
      <c r="A5" s="361"/>
      <c r="B5" s="361"/>
      <c r="C5" s="361"/>
      <c r="D5" s="361"/>
      <c r="E5" s="361"/>
      <c r="F5" s="22"/>
      <c r="G5" s="359"/>
      <c r="H5" s="359"/>
      <c r="I5" s="359"/>
      <c r="J5" s="359"/>
    </row>
    <row r="6" spans="1:14" ht="13.25" customHeight="1" x14ac:dyDescent="0.25">
      <c r="A6" s="361"/>
      <c r="B6" s="361"/>
      <c r="C6" s="361"/>
      <c r="D6" s="361"/>
      <c r="E6" s="361"/>
      <c r="F6" s="22"/>
      <c r="G6" s="359"/>
      <c r="H6" s="359"/>
      <c r="I6" s="359"/>
      <c r="J6" s="359"/>
    </row>
    <row r="7" spans="1:14" ht="13.25" customHeight="1" x14ac:dyDescent="0.25">
      <c r="A7" s="22"/>
      <c r="B7" s="22"/>
      <c r="C7" s="22"/>
      <c r="D7" s="22"/>
      <c r="E7" s="22"/>
      <c r="F7" s="22"/>
      <c r="G7" s="359"/>
      <c r="H7" s="359"/>
      <c r="I7" s="359"/>
      <c r="J7" s="359"/>
    </row>
    <row r="8" spans="1:14" ht="6" customHeight="1" thickBot="1" x14ac:dyDescent="0.3">
      <c r="A8" s="23"/>
      <c r="B8" s="24"/>
      <c r="C8" s="24"/>
      <c r="D8" s="24"/>
      <c r="E8" s="25"/>
      <c r="F8" s="25"/>
      <c r="G8" s="25"/>
      <c r="H8" s="25"/>
      <c r="I8" s="26"/>
      <c r="J8" s="26"/>
      <c r="K8" s="27"/>
      <c r="L8" s="28"/>
    </row>
    <row r="9" spans="1:14" ht="6" customHeight="1" x14ac:dyDescent="0.25">
      <c r="A9" s="29"/>
      <c r="B9" s="30"/>
      <c r="C9" s="30"/>
      <c r="D9" s="30"/>
      <c r="E9" s="31"/>
      <c r="F9" s="31"/>
      <c r="G9" s="31"/>
      <c r="H9" s="31"/>
      <c r="I9" s="32"/>
      <c r="J9" s="32"/>
      <c r="K9" s="33"/>
      <c r="L9" s="34"/>
    </row>
    <row r="10" spans="1:14" x14ac:dyDescent="0.25">
      <c r="A10" s="29"/>
      <c r="B10" s="30"/>
      <c r="C10" s="30"/>
      <c r="D10" s="30"/>
      <c r="E10" s="31"/>
      <c r="F10" s="31"/>
      <c r="G10" s="31"/>
      <c r="I10" s="32"/>
      <c r="J10" s="32"/>
      <c r="K10" s="33"/>
      <c r="L10" s="34"/>
    </row>
    <row r="11" spans="1:14" x14ac:dyDescent="0.25">
      <c r="A11" s="357" t="s">
        <v>6</v>
      </c>
      <c r="B11" s="357"/>
      <c r="C11" s="35" t="str">
        <f>Mar!C11</f>
        <v>ATHENE, Pallas</v>
      </c>
      <c r="D11" s="36"/>
      <c r="E11" s="37"/>
      <c r="F11" s="38"/>
      <c r="G11" s="38" t="s">
        <v>8</v>
      </c>
      <c r="H11" s="39"/>
      <c r="I11" s="40" t="s">
        <v>25</v>
      </c>
      <c r="J11" s="41">
        <f>Jan!J11</f>
        <v>2024</v>
      </c>
      <c r="K11" s="42"/>
      <c r="L11" s="43"/>
    </row>
    <row r="12" spans="1:14" ht="13" x14ac:dyDescent="0.25">
      <c r="B12" s="34"/>
      <c r="C12" s="44"/>
      <c r="D12" s="45"/>
      <c r="E12" s="38"/>
      <c r="F12" s="38"/>
      <c r="G12" s="31"/>
      <c r="H12" s="46"/>
      <c r="I12" s="46"/>
      <c r="J12" s="47" t="s">
        <v>65</v>
      </c>
      <c r="K12" s="48"/>
      <c r="L12" s="49"/>
    </row>
    <row r="13" spans="1:14" ht="13" x14ac:dyDescent="0.3">
      <c r="A13" s="357" t="s">
        <v>7</v>
      </c>
      <c r="B13" s="357"/>
      <c r="C13" s="35" t="str">
        <f>Mar!C13</f>
        <v>Geschäftsstelle</v>
      </c>
      <c r="D13" s="50"/>
      <c r="E13" s="37"/>
      <c r="F13" s="51"/>
      <c r="G13" s="51"/>
      <c r="H13" s="52"/>
      <c r="I13" s="46"/>
      <c r="J13" s="53" t="s">
        <v>66</v>
      </c>
      <c r="K13" s="42"/>
      <c r="L13" s="43"/>
    </row>
    <row r="14" spans="1:14" ht="13" thickBot="1" x14ac:dyDescent="0.3">
      <c r="K14" s="33"/>
      <c r="L14" s="34"/>
    </row>
    <row r="15" spans="1:14" ht="13.25" customHeight="1" x14ac:dyDescent="0.25">
      <c r="A15" s="381"/>
      <c r="B15" s="381" t="s">
        <v>14</v>
      </c>
      <c r="C15" s="381" t="s">
        <v>28</v>
      </c>
      <c r="D15" s="381" t="s">
        <v>29</v>
      </c>
      <c r="E15" s="381" t="s">
        <v>16</v>
      </c>
      <c r="F15" s="365" t="s">
        <v>61</v>
      </c>
      <c r="G15" s="365"/>
      <c r="H15" s="362" t="s">
        <v>62</v>
      </c>
      <c r="I15" s="367" t="s">
        <v>0</v>
      </c>
      <c r="J15" s="367"/>
      <c r="K15" s="325" t="s">
        <v>60</v>
      </c>
      <c r="L15" s="326"/>
    </row>
    <row r="16" spans="1:14" ht="13.5" thickBot="1" x14ac:dyDescent="0.35">
      <c r="A16" s="382"/>
      <c r="B16" s="382"/>
      <c r="C16" s="382"/>
      <c r="D16" s="382"/>
      <c r="E16" s="382"/>
      <c r="F16" s="365"/>
      <c r="G16" s="365"/>
      <c r="H16" s="363"/>
      <c r="I16" s="54" t="s">
        <v>1</v>
      </c>
      <c r="J16" s="54" t="s">
        <v>2</v>
      </c>
      <c r="K16" s="327"/>
      <c r="L16" s="328"/>
      <c r="N16" s="290"/>
    </row>
    <row r="17" spans="1:14" ht="16" thickBot="1" x14ac:dyDescent="0.4">
      <c r="A17" s="382"/>
      <c r="B17" s="382"/>
      <c r="C17" s="382"/>
      <c r="D17" s="382"/>
      <c r="E17" s="382"/>
      <c r="F17" s="365"/>
      <c r="G17" s="365"/>
      <c r="H17" s="363"/>
      <c r="I17" s="368">
        <f>MIN(IF(Mantelbogen!D26=I11,Mantelbogen!C28,Mar!I53),Mantelbogen!D14)</f>
        <v>0.25000000000000044</v>
      </c>
      <c r="J17" s="384" t="str">
        <f>IF(Mantelbogen!D26=I11,Mantelbogen!D28,Mar!J53)</f>
        <v/>
      </c>
      <c r="K17" s="329" t="str">
        <f>IF(I17/H58 &gt; 1, I17/H58, " " )</f>
        <v xml:space="preserve"> </v>
      </c>
      <c r="L17" s="330"/>
      <c r="N17" s="294" t="str">
        <f>IF(Mar!$I$53 &gt; $I$17, CONCATENATE("Verlust von ",TEXT((Mar!$I$53-$I$17)*24,"#,0")), "" )</f>
        <v/>
      </c>
    </row>
    <row r="18" spans="1:14" ht="13.5" thickBot="1" x14ac:dyDescent="0.35">
      <c r="A18" s="383"/>
      <c r="B18" s="385"/>
      <c r="C18" s="385"/>
      <c r="D18" s="385"/>
      <c r="E18" s="385"/>
      <c r="F18" s="365"/>
      <c r="G18" s="365"/>
      <c r="H18" s="364"/>
      <c r="I18" s="368"/>
      <c r="J18" s="384"/>
      <c r="K18" s="331"/>
      <c r="L18" s="332"/>
      <c r="N18" s="295" t="str">
        <f>IF(Mar!$I$53 &gt; $I$17, "Überstunden !", " " )</f>
        <v xml:space="preserve"> </v>
      </c>
    </row>
    <row r="19" spans="1:14" ht="17.399999999999999" customHeight="1" x14ac:dyDescent="0.25">
      <c r="A19" s="55">
        <v>1</v>
      </c>
      <c r="B19" s="56" t="str">
        <f t="shared" ref="B19:B48" si="0">TEXT(CONCATENATE(A19,".",I$11," ", J$11), "TTTT")</f>
        <v>Montag</v>
      </c>
      <c r="C19" s="4" t="s">
        <v>96</v>
      </c>
      <c r="D19" s="4"/>
      <c r="E19" s="4"/>
      <c r="F19" s="346" t="str">
        <f t="shared" ref="F19" si="1">IF(OR(ISTEXT(C19),ISBLANK(C19)),"",D19-C19-E19)</f>
        <v/>
      </c>
      <c r="G19" s="347"/>
      <c r="H19" s="212" t="str">
        <f t="shared" ref="H19:H48" si="2">IF(AND(OR(ISTEXT(C19),ISBLANK(C19)),ISERR(SEARCH("ausgleich",C19,1))),"",INDEX(H$51:H$58,WEEKDAY(CONCATENATE(A19,".",I$11," ",J$11),2),1,1))</f>
        <v/>
      </c>
      <c r="I19" s="195" t="str">
        <f>IF(OR(AND(F19&gt;H19,OR(B19&lt;&gt;"Samstag",H$56&gt;0),OR(B19&lt;&gt;"Sonntag",H$57&gt;0),AND(ISNONTEXT(C19),C19&lt;&gt;""))),F19-H19,"")</f>
        <v/>
      </c>
      <c r="J19" s="5" t="str">
        <f t="shared" ref="J19:J48" si="3">IF(NOT(ISERR(SEARCH("ausgleich",C19,1))),H19, IF(AND(F19&lt;H19,B19&lt;&gt;"Samstag",B19&lt;&gt;"Sonntag",ISNONTEXT(C19)),H19-F19,""))</f>
        <v/>
      </c>
      <c r="K19" s="6" t="str">
        <f>IF(AND(B19="Sonntag",SUM(I19:I19)&lt;SUM(J19:J19)),"-","")</f>
        <v/>
      </c>
      <c r="L19" s="7" t="str">
        <f>IF(B19="Sonntag",ABS(SUM(I19:I19)-SUM(J19:J19)),"")</f>
        <v/>
      </c>
      <c r="N19" s="299" t="s">
        <v>123</v>
      </c>
    </row>
    <row r="20" spans="1:14" ht="17.399999999999999" customHeight="1" x14ac:dyDescent="0.25">
      <c r="A20" s="55">
        <v>2</v>
      </c>
      <c r="B20" s="56" t="str">
        <f t="shared" si="0"/>
        <v>Dienstag</v>
      </c>
      <c r="C20" s="4">
        <v>0.35416666666666669</v>
      </c>
      <c r="D20" s="4">
        <v>0.70833333333333337</v>
      </c>
      <c r="E20" s="4">
        <v>2.0833333333333332E-2</v>
      </c>
      <c r="F20" s="346">
        <f t="shared" ref="F20:F48" si="4">IF(OR(ISTEXT(C20),ISBLANK(C20)),"",D20-C20-E20)</f>
        <v>0.33333333333333337</v>
      </c>
      <c r="G20" s="347"/>
      <c r="H20" s="212">
        <f t="shared" si="2"/>
        <v>0.33333333333333331</v>
      </c>
      <c r="I20" s="195" t="str">
        <f t="shared" ref="I20:I48" si="5">IF(OR(AND(F20&gt;H20,OR(B20&lt;&gt;"Samstag",H$56&gt;0),OR(B20&lt;&gt;"Sonntag",H$57&gt;0),AND(ISNONTEXT(C20),C20&lt;&gt;""))),F20-H20,"")</f>
        <v/>
      </c>
      <c r="J20" s="5" t="str">
        <f t="shared" si="3"/>
        <v/>
      </c>
      <c r="K20" s="8" t="str">
        <f>IF(AND(B20="Sonntag",SUM(I19:I20)&lt;SUM(J19:J20)),"-","")</f>
        <v/>
      </c>
      <c r="L20" s="9" t="str">
        <f>IF(B20="Sonntag",ABS(SUM(I19:I20)-SUM(J19:J20)),"")</f>
        <v/>
      </c>
    </row>
    <row r="21" spans="1:14" ht="17.399999999999999" customHeight="1" x14ac:dyDescent="0.25">
      <c r="A21" s="55">
        <v>3</v>
      </c>
      <c r="B21" s="56" t="str">
        <f t="shared" si="0"/>
        <v>Mittwoch</v>
      </c>
      <c r="C21" s="4">
        <v>0.35416666666666669</v>
      </c>
      <c r="D21" s="4">
        <v>0.70833333333333337</v>
      </c>
      <c r="E21" s="4">
        <v>2.0833333333333332E-2</v>
      </c>
      <c r="F21" s="346">
        <f t="shared" si="4"/>
        <v>0.33333333333333337</v>
      </c>
      <c r="G21" s="347"/>
      <c r="H21" s="212">
        <f t="shared" si="2"/>
        <v>0.33333333333333331</v>
      </c>
      <c r="I21" s="195" t="str">
        <f t="shared" si="5"/>
        <v/>
      </c>
      <c r="J21" s="5" t="str">
        <f t="shared" si="3"/>
        <v/>
      </c>
      <c r="K21" s="8" t="str">
        <f>IF(AND(B21="Sonntag",SUM(I19:I21)&lt;SUM(J19:J21)),"-","")</f>
        <v/>
      </c>
      <c r="L21" s="9" t="str">
        <f>IF(B21="Sonntag",ABS(SUM(I19:I21)-SUM(J19:J21)),"")</f>
        <v/>
      </c>
    </row>
    <row r="22" spans="1:14" ht="17.399999999999999" customHeight="1" x14ac:dyDescent="0.25">
      <c r="A22" s="55">
        <v>4</v>
      </c>
      <c r="B22" s="56" t="str">
        <f t="shared" si="0"/>
        <v>Donnerstag</v>
      </c>
      <c r="C22" s="4">
        <v>0.35416666666666669</v>
      </c>
      <c r="D22" s="4">
        <v>0.70833333333333337</v>
      </c>
      <c r="E22" s="4">
        <v>2.0833333333333332E-2</v>
      </c>
      <c r="F22" s="346">
        <f t="shared" si="4"/>
        <v>0.33333333333333337</v>
      </c>
      <c r="G22" s="347"/>
      <c r="H22" s="212">
        <f t="shared" si="2"/>
        <v>0.33333333333333331</v>
      </c>
      <c r="I22" s="195" t="str">
        <f t="shared" si="5"/>
        <v/>
      </c>
      <c r="J22" s="5" t="str">
        <f t="shared" si="3"/>
        <v/>
      </c>
      <c r="K22" s="8" t="str">
        <f>IF(AND(B22="Sonntag",SUM(I19:I22)&lt;SUM(J19:J22)),"-","")</f>
        <v/>
      </c>
      <c r="L22" s="9" t="str">
        <f>IF(B22="Sonntag",ABS(SUM(I19:I22)-SUM(J19:J22)),"")</f>
        <v/>
      </c>
    </row>
    <row r="23" spans="1:14" ht="17.399999999999999" customHeight="1" x14ac:dyDescent="0.25">
      <c r="A23" s="55">
        <v>5</v>
      </c>
      <c r="B23" s="56" t="str">
        <f t="shared" si="0"/>
        <v>Freitag</v>
      </c>
      <c r="C23" s="4">
        <v>0.35416666666666669</v>
      </c>
      <c r="D23" s="4">
        <v>0.70833333333333337</v>
      </c>
      <c r="E23" s="4">
        <v>2.0833333333333332E-2</v>
      </c>
      <c r="F23" s="346">
        <f t="shared" si="4"/>
        <v>0.33333333333333337</v>
      </c>
      <c r="G23" s="347"/>
      <c r="H23" s="212">
        <f t="shared" si="2"/>
        <v>0.3125</v>
      </c>
      <c r="I23" s="195">
        <f t="shared" si="5"/>
        <v>2.083333333333337E-2</v>
      </c>
      <c r="J23" s="5" t="str">
        <f t="shared" si="3"/>
        <v/>
      </c>
      <c r="K23" s="8" t="str">
        <f>IF(AND(B23="Sonntag",SUM(I19:I23)&lt;SUM(J19:J23)),"-","")</f>
        <v/>
      </c>
      <c r="L23" s="9" t="str">
        <f>IF(B23="Sonntag",ABS(SUM(I19:I23)-SUM(J19:J23)),"")</f>
        <v/>
      </c>
    </row>
    <row r="24" spans="1:14" ht="17.399999999999999" customHeight="1" x14ac:dyDescent="0.25">
      <c r="A24" s="55">
        <v>6</v>
      </c>
      <c r="B24" s="56" t="str">
        <f t="shared" si="0"/>
        <v>Samstag</v>
      </c>
      <c r="C24" s="4">
        <v>0.35416666666666669</v>
      </c>
      <c r="D24" s="4">
        <v>0.70833333333333337</v>
      </c>
      <c r="E24" s="4">
        <v>2.0833333333333332E-2</v>
      </c>
      <c r="F24" s="346">
        <f t="shared" si="4"/>
        <v>0.33333333333333337</v>
      </c>
      <c r="G24" s="347"/>
      <c r="H24" s="212">
        <f t="shared" si="2"/>
        <v>0</v>
      </c>
      <c r="I24" s="195" t="str">
        <f t="shared" si="5"/>
        <v/>
      </c>
      <c r="J24" s="5" t="str">
        <f t="shared" si="3"/>
        <v/>
      </c>
      <c r="K24" s="8" t="str">
        <f>IF(AND(B24="Sonntag",SUM(I19:I24)&lt;SUM(J19:J24)),"-","")</f>
        <v/>
      </c>
      <c r="L24" s="9" t="str">
        <f>IF(B24="Sonntag",ABS(SUM(I19:I24)-SUM(J19:J24)),"")</f>
        <v/>
      </c>
      <c r="N24" s="283"/>
    </row>
    <row r="25" spans="1:14" ht="17.399999999999999" customHeight="1" x14ac:dyDescent="0.25">
      <c r="A25" s="55">
        <v>7</v>
      </c>
      <c r="B25" s="56" t="str">
        <f t="shared" si="0"/>
        <v>Sonntag</v>
      </c>
      <c r="C25" s="4"/>
      <c r="D25" s="4"/>
      <c r="E25" s="4"/>
      <c r="F25" s="346" t="str">
        <f t="shared" si="4"/>
        <v/>
      </c>
      <c r="G25" s="347"/>
      <c r="H25" s="212" t="str">
        <f t="shared" si="2"/>
        <v/>
      </c>
      <c r="I25" s="195" t="str">
        <f t="shared" si="5"/>
        <v/>
      </c>
      <c r="J25" s="5" t="str">
        <f t="shared" si="3"/>
        <v/>
      </c>
      <c r="K25" s="8" t="str">
        <f>IF(AND(B25="Sonntag",SUM(I19:I25)&lt;SUM(J19:J25)),"-","")</f>
        <v/>
      </c>
      <c r="L25" s="9">
        <f>IF(B25="Sonntag",ABS(SUM(I19:I25)-SUM(J19:J25)),"")</f>
        <v>2.083333333333337E-2</v>
      </c>
      <c r="N25" s="299" t="s">
        <v>132</v>
      </c>
    </row>
    <row r="26" spans="1:14" ht="17.399999999999999" customHeight="1" x14ac:dyDescent="0.25">
      <c r="A26" s="55">
        <v>8</v>
      </c>
      <c r="B26" s="56" t="str">
        <f t="shared" si="0"/>
        <v>Montag</v>
      </c>
      <c r="C26" s="4">
        <v>0.35416666666666669</v>
      </c>
      <c r="D26" s="4">
        <v>0.70833333333333337</v>
      </c>
      <c r="E26" s="4">
        <v>2.0833333333333332E-2</v>
      </c>
      <c r="F26" s="346">
        <f t="shared" si="4"/>
        <v>0.33333333333333337</v>
      </c>
      <c r="G26" s="347"/>
      <c r="H26" s="212">
        <f t="shared" si="2"/>
        <v>0.33333333333333331</v>
      </c>
      <c r="I26" s="195" t="str">
        <f t="shared" si="5"/>
        <v/>
      </c>
      <c r="J26" s="5" t="str">
        <f t="shared" si="3"/>
        <v/>
      </c>
      <c r="K26" s="8" t="str">
        <f>IF(AND(B26="Sonntag",SUM(I20:I26)&lt;SUM(J20:J26)),"-","")</f>
        <v/>
      </c>
      <c r="L26" s="9" t="str">
        <f>IF(B26="Sonntag",ABS(SUM(I20:I26)-SUM(J20:J26)),"")</f>
        <v/>
      </c>
    </row>
    <row r="27" spans="1:14" ht="17.399999999999999" customHeight="1" x14ac:dyDescent="0.25">
      <c r="A27" s="55">
        <v>9</v>
      </c>
      <c r="B27" s="56" t="str">
        <f t="shared" si="0"/>
        <v>Dienstag</v>
      </c>
      <c r="C27" s="4">
        <v>0.35416666666666669</v>
      </c>
      <c r="D27" s="4">
        <v>0.70833333333333337</v>
      </c>
      <c r="E27" s="4">
        <v>2.0833333333333332E-2</v>
      </c>
      <c r="F27" s="346">
        <f t="shared" si="4"/>
        <v>0.33333333333333337</v>
      </c>
      <c r="G27" s="347"/>
      <c r="H27" s="212">
        <f t="shared" si="2"/>
        <v>0.33333333333333331</v>
      </c>
      <c r="I27" s="195" t="str">
        <f t="shared" si="5"/>
        <v/>
      </c>
      <c r="J27" s="5" t="str">
        <f t="shared" si="3"/>
        <v/>
      </c>
      <c r="K27" s="8" t="str">
        <f>IF(AND(B27="Sonntag",SUM(I21:I27)&lt;SUM(J21:J27)),"-","")</f>
        <v/>
      </c>
      <c r="L27" s="9" t="str">
        <f>IF(B27="Sonntag",ABS(SUM(I21:I27)-SUM(J21:J27)),"")</f>
        <v/>
      </c>
    </row>
    <row r="28" spans="1:14" ht="17.399999999999999" customHeight="1" x14ac:dyDescent="0.25">
      <c r="A28" s="55">
        <v>10</v>
      </c>
      <c r="B28" s="56" t="str">
        <f t="shared" si="0"/>
        <v>Mittwoch</v>
      </c>
      <c r="C28" s="4">
        <v>0.35416666666666669</v>
      </c>
      <c r="D28" s="4">
        <v>0.70833333333333337</v>
      </c>
      <c r="E28" s="4">
        <v>2.0833333333333332E-2</v>
      </c>
      <c r="F28" s="346">
        <f>IF(OR(ISTEXT(C28),ISBLANK(C28)),"",D28-C28-E28)</f>
        <v>0.33333333333333337</v>
      </c>
      <c r="G28" s="347"/>
      <c r="H28" s="212">
        <f t="shared" si="2"/>
        <v>0.33333333333333331</v>
      </c>
      <c r="I28" s="195" t="str">
        <f t="shared" si="5"/>
        <v/>
      </c>
      <c r="J28" s="5" t="str">
        <f t="shared" si="3"/>
        <v/>
      </c>
      <c r="K28" s="8" t="str">
        <f t="shared" ref="K28:K47" si="6">IF(AND(B28="Sonntag",SUM(I22:I28)&lt;SUM(J22:J28)),"-","")</f>
        <v/>
      </c>
      <c r="L28" s="9" t="str">
        <f t="shared" ref="L28:L47" si="7">IF(B28="Sonntag",ABS(SUM(I22:I28)-SUM(J22:J28)),"")</f>
        <v/>
      </c>
      <c r="N28" s="284"/>
    </row>
    <row r="29" spans="1:14" ht="17.399999999999999" customHeight="1" x14ac:dyDescent="0.25">
      <c r="A29" s="55">
        <v>11</v>
      </c>
      <c r="B29" s="56" t="str">
        <f t="shared" si="0"/>
        <v>Donnerstag</v>
      </c>
      <c r="C29" s="4">
        <v>0.35416666666666669</v>
      </c>
      <c r="D29" s="4">
        <v>0.70833333333333337</v>
      </c>
      <c r="E29" s="4">
        <v>2.0833333333333332E-2</v>
      </c>
      <c r="F29" s="346">
        <f t="shared" si="4"/>
        <v>0.33333333333333337</v>
      </c>
      <c r="G29" s="347"/>
      <c r="H29" s="212">
        <f t="shared" si="2"/>
        <v>0.33333333333333331</v>
      </c>
      <c r="I29" s="195" t="str">
        <f t="shared" si="5"/>
        <v/>
      </c>
      <c r="J29" s="5" t="str">
        <f t="shared" si="3"/>
        <v/>
      </c>
      <c r="K29" s="8" t="str">
        <f t="shared" si="6"/>
        <v/>
      </c>
      <c r="L29" s="9" t="str">
        <f t="shared" si="7"/>
        <v/>
      </c>
    </row>
    <row r="30" spans="1:14" ht="17.399999999999999" customHeight="1" x14ac:dyDescent="0.25">
      <c r="A30" s="55">
        <v>12</v>
      </c>
      <c r="B30" s="56" t="str">
        <f t="shared" si="0"/>
        <v>Freitag</v>
      </c>
      <c r="C30" s="4">
        <v>0.35416666666666669</v>
      </c>
      <c r="D30" s="4">
        <v>0.70833333333333337</v>
      </c>
      <c r="E30" s="4">
        <v>2.0833333333333332E-2</v>
      </c>
      <c r="F30" s="346">
        <f t="shared" si="4"/>
        <v>0.33333333333333337</v>
      </c>
      <c r="G30" s="347"/>
      <c r="H30" s="212">
        <f t="shared" si="2"/>
        <v>0.3125</v>
      </c>
      <c r="I30" s="195">
        <f t="shared" si="5"/>
        <v>2.083333333333337E-2</v>
      </c>
      <c r="J30" s="5" t="str">
        <f t="shared" si="3"/>
        <v/>
      </c>
      <c r="K30" s="8" t="str">
        <f t="shared" si="6"/>
        <v/>
      </c>
      <c r="L30" s="9" t="str">
        <f t="shared" si="7"/>
        <v/>
      </c>
    </row>
    <row r="31" spans="1:14" ht="17.399999999999999" customHeight="1" x14ac:dyDescent="0.25">
      <c r="A31" s="55">
        <v>13</v>
      </c>
      <c r="B31" s="56" t="str">
        <f t="shared" si="0"/>
        <v>Samstag</v>
      </c>
      <c r="C31" s="4">
        <v>0.35416666666666669</v>
      </c>
      <c r="D31" s="4">
        <v>0.70833333333333337</v>
      </c>
      <c r="E31" s="4">
        <v>2.0833333333333332E-2</v>
      </c>
      <c r="F31" s="346">
        <f t="shared" si="4"/>
        <v>0.33333333333333337</v>
      </c>
      <c r="G31" s="347"/>
      <c r="H31" s="212">
        <f t="shared" si="2"/>
        <v>0</v>
      </c>
      <c r="I31" s="195" t="str">
        <f t="shared" si="5"/>
        <v/>
      </c>
      <c r="J31" s="5" t="str">
        <f t="shared" si="3"/>
        <v/>
      </c>
      <c r="K31" s="8" t="str">
        <f t="shared" si="6"/>
        <v/>
      </c>
      <c r="L31" s="9" t="str">
        <f t="shared" si="7"/>
        <v/>
      </c>
    </row>
    <row r="32" spans="1:14" ht="17.399999999999999" customHeight="1" x14ac:dyDescent="0.25">
      <c r="A32" s="55">
        <v>14</v>
      </c>
      <c r="B32" s="56" t="str">
        <f t="shared" si="0"/>
        <v>Sonntag</v>
      </c>
      <c r="C32" s="4">
        <v>0.35416666666666669</v>
      </c>
      <c r="D32" s="4">
        <v>0.70833333333333337</v>
      </c>
      <c r="E32" s="4">
        <v>2.0833333333333332E-2</v>
      </c>
      <c r="F32" s="346">
        <f t="shared" si="4"/>
        <v>0.33333333333333337</v>
      </c>
      <c r="G32" s="347"/>
      <c r="H32" s="269">
        <f t="shared" si="2"/>
        <v>0</v>
      </c>
      <c r="I32" s="195" t="str">
        <f t="shared" si="5"/>
        <v/>
      </c>
      <c r="J32" s="5" t="str">
        <f t="shared" si="3"/>
        <v/>
      </c>
      <c r="K32" s="8" t="str">
        <f t="shared" si="6"/>
        <v/>
      </c>
      <c r="L32" s="9">
        <f t="shared" si="7"/>
        <v>2.083333333333337E-2</v>
      </c>
    </row>
    <row r="33" spans="1:14" ht="17.399999999999999" customHeight="1" x14ac:dyDescent="0.25">
      <c r="A33" s="55">
        <v>15</v>
      </c>
      <c r="B33" s="56" t="str">
        <f t="shared" si="0"/>
        <v>Montag</v>
      </c>
      <c r="C33" s="4">
        <v>0.35416666666666669</v>
      </c>
      <c r="D33" s="4">
        <v>0.70833333333333337</v>
      </c>
      <c r="E33" s="4">
        <v>2.0833333333333332E-2</v>
      </c>
      <c r="F33" s="346">
        <f t="shared" si="4"/>
        <v>0.33333333333333337</v>
      </c>
      <c r="G33" s="347"/>
      <c r="H33" s="212">
        <f t="shared" si="2"/>
        <v>0.33333333333333331</v>
      </c>
      <c r="I33" s="195" t="str">
        <f t="shared" si="5"/>
        <v/>
      </c>
      <c r="J33" s="5" t="str">
        <f t="shared" si="3"/>
        <v/>
      </c>
      <c r="K33" s="8" t="str">
        <f t="shared" si="6"/>
        <v/>
      </c>
      <c r="L33" s="9" t="str">
        <f t="shared" si="7"/>
        <v/>
      </c>
      <c r="N33" s="283"/>
    </row>
    <row r="34" spans="1:14" ht="17.399999999999999" customHeight="1" x14ac:dyDescent="0.3">
      <c r="A34" s="55">
        <v>16</v>
      </c>
      <c r="B34" s="56" t="str">
        <f t="shared" si="0"/>
        <v>Dienstag</v>
      </c>
      <c r="C34" s="4">
        <v>0.35416666666666669</v>
      </c>
      <c r="D34" s="4">
        <v>0.70833333333333337</v>
      </c>
      <c r="E34" s="4">
        <v>2.0833333333333332E-2</v>
      </c>
      <c r="F34" s="346">
        <f t="shared" si="4"/>
        <v>0.33333333333333337</v>
      </c>
      <c r="G34" s="347"/>
      <c r="H34" s="212">
        <f t="shared" si="2"/>
        <v>0.33333333333333331</v>
      </c>
      <c r="I34" s="195" t="str">
        <f t="shared" si="5"/>
        <v/>
      </c>
      <c r="J34" s="5" t="str">
        <f t="shared" si="3"/>
        <v/>
      </c>
      <c r="K34" s="8" t="str">
        <f t="shared" si="6"/>
        <v/>
      </c>
      <c r="L34" s="9" t="str">
        <f t="shared" si="7"/>
        <v/>
      </c>
      <c r="M34" s="241"/>
    </row>
    <row r="35" spans="1:14" ht="17.399999999999999" customHeight="1" x14ac:dyDescent="0.3">
      <c r="A35" s="55">
        <v>17</v>
      </c>
      <c r="B35" s="56" t="str">
        <f t="shared" si="0"/>
        <v>Mittwoch</v>
      </c>
      <c r="C35" s="4">
        <v>0.35416666666666669</v>
      </c>
      <c r="D35" s="4">
        <v>0.70833333333333337</v>
      </c>
      <c r="E35" s="4">
        <v>2.0833333333333332E-2</v>
      </c>
      <c r="F35" s="346">
        <f t="shared" si="4"/>
        <v>0.33333333333333337</v>
      </c>
      <c r="G35" s="347"/>
      <c r="H35" s="212">
        <f t="shared" si="2"/>
        <v>0.33333333333333331</v>
      </c>
      <c r="I35" s="195" t="str">
        <f t="shared" si="5"/>
        <v/>
      </c>
      <c r="J35" s="5" t="str">
        <f t="shared" si="3"/>
        <v/>
      </c>
      <c r="K35" s="8" t="str">
        <f t="shared" si="6"/>
        <v/>
      </c>
      <c r="L35" s="9" t="str">
        <f t="shared" si="7"/>
        <v/>
      </c>
      <c r="M35" s="241"/>
    </row>
    <row r="36" spans="1:14" ht="17.399999999999999" customHeight="1" x14ac:dyDescent="0.25">
      <c r="A36" s="55">
        <v>18</v>
      </c>
      <c r="B36" s="56" t="str">
        <f t="shared" si="0"/>
        <v>Donnerstag</v>
      </c>
      <c r="C36" s="298">
        <v>0.35416666666666669</v>
      </c>
      <c r="D36" s="298">
        <v>0.70833333333333337</v>
      </c>
      <c r="E36" s="298">
        <v>2.0833333333333332E-2</v>
      </c>
      <c r="F36" s="346">
        <f t="shared" si="4"/>
        <v>0.33333333333333337</v>
      </c>
      <c r="G36" s="347"/>
      <c r="H36" s="212">
        <f t="shared" si="2"/>
        <v>0.33333333333333331</v>
      </c>
      <c r="I36" s="195" t="str">
        <f t="shared" si="5"/>
        <v/>
      </c>
      <c r="J36" s="5" t="str">
        <f t="shared" si="3"/>
        <v/>
      </c>
      <c r="K36" s="8" t="str">
        <f t="shared" si="6"/>
        <v/>
      </c>
      <c r="L36" s="9" t="str">
        <f t="shared" si="7"/>
        <v/>
      </c>
    </row>
    <row r="37" spans="1:14" ht="17.399999999999999" customHeight="1" x14ac:dyDescent="0.25">
      <c r="A37" s="55">
        <v>19</v>
      </c>
      <c r="B37" s="56" t="str">
        <f t="shared" si="0"/>
        <v>Freitag</v>
      </c>
      <c r="C37" s="4">
        <v>0.35416666666666669</v>
      </c>
      <c r="D37" s="4">
        <v>0.70833333333333337</v>
      </c>
      <c r="E37" s="4">
        <v>2.0833333333333332E-2</v>
      </c>
      <c r="F37" s="346">
        <f t="shared" si="4"/>
        <v>0.33333333333333337</v>
      </c>
      <c r="G37" s="347"/>
      <c r="H37" s="212">
        <f t="shared" si="2"/>
        <v>0.3125</v>
      </c>
      <c r="I37" s="195">
        <f t="shared" si="5"/>
        <v>2.083333333333337E-2</v>
      </c>
      <c r="J37" s="5" t="str">
        <f t="shared" si="3"/>
        <v/>
      </c>
      <c r="K37" s="8" t="str">
        <f t="shared" si="6"/>
        <v/>
      </c>
      <c r="L37" s="9" t="str">
        <f t="shared" si="7"/>
        <v/>
      </c>
      <c r="M37" s="173"/>
      <c r="N37" s="283"/>
    </row>
    <row r="38" spans="1:14" ht="17.399999999999999" customHeight="1" x14ac:dyDescent="0.25">
      <c r="A38" s="55">
        <v>20</v>
      </c>
      <c r="B38" s="56" t="str">
        <f t="shared" si="0"/>
        <v>Samstag</v>
      </c>
      <c r="C38" s="4">
        <v>0.35416666666666669</v>
      </c>
      <c r="D38" s="4">
        <v>0.70833333333333337</v>
      </c>
      <c r="E38" s="4">
        <v>2.0833333333333332E-2</v>
      </c>
      <c r="F38" s="346">
        <f t="shared" si="4"/>
        <v>0.33333333333333337</v>
      </c>
      <c r="G38" s="347"/>
      <c r="H38" s="212">
        <f t="shared" si="2"/>
        <v>0</v>
      </c>
      <c r="I38" s="195" t="str">
        <f t="shared" si="5"/>
        <v/>
      </c>
      <c r="J38" s="5" t="str">
        <f t="shared" si="3"/>
        <v/>
      </c>
      <c r="K38" s="8" t="str">
        <f t="shared" si="6"/>
        <v/>
      </c>
      <c r="L38" s="9" t="str">
        <f t="shared" si="7"/>
        <v/>
      </c>
    </row>
    <row r="39" spans="1:14" ht="17.399999999999999" customHeight="1" x14ac:dyDescent="0.25">
      <c r="A39" s="55">
        <v>21</v>
      </c>
      <c r="B39" s="56" t="str">
        <f t="shared" si="0"/>
        <v>Sonntag</v>
      </c>
      <c r="C39" s="4">
        <v>0.35416666666666669</v>
      </c>
      <c r="D39" s="4">
        <v>0.70833333333333337</v>
      </c>
      <c r="E39" s="4">
        <v>2.0833333333333332E-2</v>
      </c>
      <c r="F39" s="346">
        <f t="shared" si="4"/>
        <v>0.33333333333333337</v>
      </c>
      <c r="G39" s="347"/>
      <c r="H39" s="212">
        <f t="shared" si="2"/>
        <v>0</v>
      </c>
      <c r="I39" s="195" t="str">
        <f t="shared" si="5"/>
        <v/>
      </c>
      <c r="J39" s="5" t="str">
        <f t="shared" si="3"/>
        <v/>
      </c>
      <c r="K39" s="8" t="str">
        <f t="shared" si="6"/>
        <v/>
      </c>
      <c r="L39" s="9">
        <f t="shared" si="7"/>
        <v>2.083333333333337E-2</v>
      </c>
    </row>
    <row r="40" spans="1:14" ht="17.399999999999999" customHeight="1" x14ac:dyDescent="0.25">
      <c r="A40" s="55">
        <v>22</v>
      </c>
      <c r="B40" s="56" t="str">
        <f t="shared" si="0"/>
        <v>Montag</v>
      </c>
      <c r="C40" s="4">
        <v>0.35416666666666669</v>
      </c>
      <c r="D40" s="4">
        <v>0.70833333333333337</v>
      </c>
      <c r="E40" s="4">
        <v>2.0833333333333332E-2</v>
      </c>
      <c r="F40" s="346">
        <f t="shared" si="4"/>
        <v>0.33333333333333337</v>
      </c>
      <c r="G40" s="347"/>
      <c r="H40" s="212">
        <f t="shared" si="2"/>
        <v>0.33333333333333331</v>
      </c>
      <c r="I40" s="195" t="str">
        <f t="shared" si="5"/>
        <v/>
      </c>
      <c r="J40" s="5" t="str">
        <f t="shared" si="3"/>
        <v/>
      </c>
      <c r="K40" s="8" t="str">
        <f t="shared" si="6"/>
        <v/>
      </c>
      <c r="L40" s="9" t="str">
        <f t="shared" si="7"/>
        <v/>
      </c>
      <c r="M40" s="173"/>
    </row>
    <row r="41" spans="1:14" ht="17.399999999999999" customHeight="1" x14ac:dyDescent="0.25">
      <c r="A41" s="55">
        <v>23</v>
      </c>
      <c r="B41" s="56" t="str">
        <f t="shared" si="0"/>
        <v>Dienstag</v>
      </c>
      <c r="C41" s="4">
        <v>0.35416666666666669</v>
      </c>
      <c r="D41" s="4">
        <v>0.70833333333333337</v>
      </c>
      <c r="E41" s="4">
        <v>2.0833333333333332E-2</v>
      </c>
      <c r="F41" s="346">
        <f t="shared" si="4"/>
        <v>0.33333333333333337</v>
      </c>
      <c r="G41" s="347"/>
      <c r="H41" s="212">
        <f t="shared" si="2"/>
        <v>0.33333333333333331</v>
      </c>
      <c r="I41" s="195" t="str">
        <f t="shared" si="5"/>
        <v/>
      </c>
      <c r="J41" s="5" t="str">
        <f t="shared" si="3"/>
        <v/>
      </c>
      <c r="K41" s="8" t="str">
        <f t="shared" si="6"/>
        <v/>
      </c>
      <c r="L41" s="9" t="str">
        <f t="shared" si="7"/>
        <v/>
      </c>
    </row>
    <row r="42" spans="1:14" ht="17.399999999999999" customHeight="1" x14ac:dyDescent="0.25">
      <c r="A42" s="55">
        <v>24</v>
      </c>
      <c r="B42" s="56" t="str">
        <f t="shared" si="0"/>
        <v>Mittwoch</v>
      </c>
      <c r="C42" s="4">
        <v>0.35416666666666669</v>
      </c>
      <c r="D42" s="4">
        <v>0.70833333333333337</v>
      </c>
      <c r="E42" s="4">
        <v>2.0833333333333332E-2</v>
      </c>
      <c r="F42" s="346">
        <f t="shared" si="4"/>
        <v>0.33333333333333337</v>
      </c>
      <c r="G42" s="347"/>
      <c r="H42" s="212">
        <f t="shared" si="2"/>
        <v>0.33333333333333331</v>
      </c>
      <c r="I42" s="195" t="str">
        <f t="shared" si="5"/>
        <v/>
      </c>
      <c r="J42" s="5" t="str">
        <f t="shared" si="3"/>
        <v/>
      </c>
      <c r="K42" s="8" t="str">
        <f t="shared" si="6"/>
        <v/>
      </c>
      <c r="L42" s="9" t="str">
        <f t="shared" si="7"/>
        <v/>
      </c>
    </row>
    <row r="43" spans="1:14" ht="17.399999999999999" customHeight="1" x14ac:dyDescent="0.25">
      <c r="A43" s="55">
        <v>25</v>
      </c>
      <c r="B43" s="56" t="str">
        <f t="shared" si="0"/>
        <v>Donnerstag</v>
      </c>
      <c r="C43" s="4">
        <v>0.35416666666666669</v>
      </c>
      <c r="D43" s="4">
        <v>0.70833333333333337</v>
      </c>
      <c r="E43" s="4">
        <v>2.0833333333333332E-2</v>
      </c>
      <c r="F43" s="346">
        <f t="shared" si="4"/>
        <v>0.33333333333333337</v>
      </c>
      <c r="G43" s="347"/>
      <c r="H43" s="212">
        <f t="shared" si="2"/>
        <v>0.33333333333333331</v>
      </c>
      <c r="I43" s="195" t="str">
        <f t="shared" si="5"/>
        <v/>
      </c>
      <c r="J43" s="5" t="str">
        <f t="shared" si="3"/>
        <v/>
      </c>
      <c r="K43" s="8" t="str">
        <f t="shared" si="6"/>
        <v/>
      </c>
      <c r="L43" s="9" t="str">
        <f t="shared" si="7"/>
        <v/>
      </c>
    </row>
    <row r="44" spans="1:14" ht="17.399999999999999" customHeight="1" x14ac:dyDescent="0.25">
      <c r="A44" s="55">
        <v>26</v>
      </c>
      <c r="B44" s="56" t="str">
        <f t="shared" si="0"/>
        <v>Freitag</v>
      </c>
      <c r="C44" s="4">
        <v>0.35416666666666669</v>
      </c>
      <c r="D44" s="4">
        <v>0.70833333333333337</v>
      </c>
      <c r="E44" s="4">
        <v>2.0833333333333332E-2</v>
      </c>
      <c r="F44" s="346">
        <f t="shared" si="4"/>
        <v>0.33333333333333337</v>
      </c>
      <c r="G44" s="347"/>
      <c r="H44" s="212">
        <f t="shared" si="2"/>
        <v>0.3125</v>
      </c>
      <c r="I44" s="195">
        <f t="shared" si="5"/>
        <v>2.083333333333337E-2</v>
      </c>
      <c r="J44" s="5" t="str">
        <f t="shared" si="3"/>
        <v/>
      </c>
      <c r="K44" s="8" t="str">
        <f t="shared" si="6"/>
        <v/>
      </c>
      <c r="L44" s="9" t="str">
        <f t="shared" si="7"/>
        <v/>
      </c>
      <c r="N44" s="299" t="str">
        <f>IF(Mantelbogen!$C$8="Geschäftsstelle", "2024 Ausw. Stzg (Freiburg)", "")</f>
        <v>2024 Ausw. Stzg (Freiburg)</v>
      </c>
    </row>
    <row r="45" spans="1:14" ht="17.399999999999999" customHeight="1" x14ac:dyDescent="0.25">
      <c r="A45" s="55">
        <v>27</v>
      </c>
      <c r="B45" s="56" t="str">
        <f t="shared" si="0"/>
        <v>Samstag</v>
      </c>
      <c r="C45" s="4">
        <v>0.35416666666666669</v>
      </c>
      <c r="D45" s="4">
        <v>0.70833333333333337</v>
      </c>
      <c r="E45" s="4">
        <v>2.0833333333333332E-2</v>
      </c>
      <c r="F45" s="346">
        <f t="shared" si="4"/>
        <v>0.33333333333333337</v>
      </c>
      <c r="G45" s="347"/>
      <c r="H45" s="212">
        <f t="shared" si="2"/>
        <v>0</v>
      </c>
      <c r="I45" s="195" t="str">
        <f t="shared" si="5"/>
        <v/>
      </c>
      <c r="J45" s="5" t="str">
        <f t="shared" si="3"/>
        <v/>
      </c>
      <c r="K45" s="8" t="str">
        <f t="shared" si="6"/>
        <v/>
      </c>
      <c r="L45" s="9" t="str">
        <f t="shared" si="7"/>
        <v/>
      </c>
      <c r="N45" s="299" t="str">
        <f>IF(Mantelbogen!$C$8="Geschäftsstelle", "2024 Ausw. Stzg (Freiburg)", "")</f>
        <v>2024 Ausw. Stzg (Freiburg)</v>
      </c>
    </row>
    <row r="46" spans="1:14" ht="17.399999999999999" customHeight="1" x14ac:dyDescent="0.25">
      <c r="A46" s="55">
        <v>28</v>
      </c>
      <c r="B46" s="56" t="str">
        <f t="shared" si="0"/>
        <v>Sonntag</v>
      </c>
      <c r="C46" s="4">
        <v>0.35416666666666669</v>
      </c>
      <c r="D46" s="4">
        <v>0.70833333333333337</v>
      </c>
      <c r="E46" s="4">
        <v>2.0833333333333332E-2</v>
      </c>
      <c r="F46" s="346">
        <f t="shared" si="4"/>
        <v>0.33333333333333337</v>
      </c>
      <c r="G46" s="347"/>
      <c r="H46" s="212">
        <f t="shared" si="2"/>
        <v>0</v>
      </c>
      <c r="I46" s="195" t="str">
        <f t="shared" si="5"/>
        <v/>
      </c>
      <c r="J46" s="5" t="str">
        <f t="shared" si="3"/>
        <v/>
      </c>
      <c r="K46" s="8" t="str">
        <f t="shared" si="6"/>
        <v/>
      </c>
      <c r="L46" s="9">
        <f t="shared" si="7"/>
        <v>2.083333333333337E-2</v>
      </c>
    </row>
    <row r="47" spans="1:14" ht="17.399999999999999" customHeight="1" x14ac:dyDescent="0.25">
      <c r="A47" s="55">
        <v>29</v>
      </c>
      <c r="B47" s="56" t="str">
        <f t="shared" si="0"/>
        <v>Montag</v>
      </c>
      <c r="C47" s="4">
        <v>0.35416666666666669</v>
      </c>
      <c r="D47" s="4">
        <v>0.70833333333333337</v>
      </c>
      <c r="E47" s="4">
        <v>2.0833333333333332E-2</v>
      </c>
      <c r="F47" s="346">
        <f t="shared" si="4"/>
        <v>0.33333333333333337</v>
      </c>
      <c r="G47" s="347"/>
      <c r="H47" s="212">
        <f t="shared" si="2"/>
        <v>0.33333333333333331</v>
      </c>
      <c r="I47" s="195" t="str">
        <f t="shared" si="5"/>
        <v/>
      </c>
      <c r="J47" s="5" t="str">
        <f t="shared" si="3"/>
        <v/>
      </c>
      <c r="K47" s="8" t="str">
        <f t="shared" si="6"/>
        <v/>
      </c>
      <c r="L47" s="9" t="str">
        <f t="shared" si="7"/>
        <v/>
      </c>
    </row>
    <row r="48" spans="1:14" ht="17.399999999999999" customHeight="1" x14ac:dyDescent="0.3">
      <c r="A48" s="55">
        <v>30</v>
      </c>
      <c r="B48" s="56" t="str">
        <f t="shared" si="0"/>
        <v>Dienstag</v>
      </c>
      <c r="C48" s="4">
        <v>0.35416666666666669</v>
      </c>
      <c r="D48" s="4">
        <v>0.70833333333333337</v>
      </c>
      <c r="E48" s="4">
        <v>2.0833333333333332E-2</v>
      </c>
      <c r="F48" s="346">
        <f t="shared" si="4"/>
        <v>0.33333333333333337</v>
      </c>
      <c r="G48" s="347"/>
      <c r="H48" s="212">
        <f t="shared" si="2"/>
        <v>0.33333333333333331</v>
      </c>
      <c r="I48" s="195" t="str">
        <f t="shared" si="5"/>
        <v/>
      </c>
      <c r="J48" s="5" t="str">
        <f t="shared" si="3"/>
        <v/>
      </c>
      <c r="K48" s="10" t="str">
        <f ca="1">IF(SUM(INDIRECT("I"&amp;ROW()-WEEKDAY(CONCATENATE(A48,".",I$11," ",J$11),3)):I49) &lt; SUM(INDIRECT("j"&amp;ROW()-WEEKDAY(CONCATENATE(A48,".",I$11," ",J$11),3)):J49),"-","")</f>
        <v/>
      </c>
      <c r="L48" s="11">
        <f ca="1">ABS(SUM(INDIRECT("I"&amp;ROW()-WEEKDAY(CONCATENATE(A48,".",I$11," ",J$11),3)):I49)-SUM(INDIRECT("j"&amp;ROW()-WEEKDAY(CONCATENATE(A48,".",I$11," ",J$11),3)):J49))</f>
        <v>0</v>
      </c>
    </row>
    <row r="49" spans="1:14" ht="17.399999999999999" customHeight="1" x14ac:dyDescent="0.25">
      <c r="A49" s="57"/>
      <c r="B49" s="58"/>
      <c r="C49" s="166"/>
      <c r="D49" s="166"/>
      <c r="E49" s="12"/>
      <c r="F49" s="386"/>
      <c r="G49" s="386"/>
      <c r="H49" s="149"/>
      <c r="I49" s="195"/>
      <c r="J49" s="12"/>
      <c r="K49" s="13"/>
      <c r="L49" s="14"/>
    </row>
    <row r="50" spans="1:14" s="68" customFormat="1" ht="17.399999999999999" customHeight="1" thickBot="1" x14ac:dyDescent="0.3">
      <c r="A50" s="59" t="str">
        <f>Jan!A50</f>
        <v>Sonstige Zeiten laut beigefügter Aufstellung (s. Anlage):</v>
      </c>
      <c r="B50" s="60"/>
      <c r="C50" s="61"/>
      <c r="D50" s="62"/>
      <c r="E50" s="62"/>
      <c r="F50" s="62"/>
      <c r="G50" s="62"/>
      <c r="H50" s="63"/>
      <c r="I50" s="219">
        <v>0</v>
      </c>
      <c r="J50" s="220">
        <v>0</v>
      </c>
      <c r="K50" s="66"/>
      <c r="L50" s="67"/>
      <c r="M50" s="171"/>
      <c r="N50" s="171"/>
    </row>
    <row r="51" spans="1:14" x14ac:dyDescent="0.25">
      <c r="A51" s="387" t="s">
        <v>3</v>
      </c>
      <c r="B51" s="387"/>
      <c r="C51" s="387"/>
      <c r="D51" s="387"/>
      <c r="H51" s="69">
        <f>Mar!H51</f>
        <v>0.33333333333333331</v>
      </c>
      <c r="I51" s="351">
        <f>SUM(I17:I50)</f>
        <v>0.33333333333333393</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Mar!H52</f>
        <v>0.33333333333333331</v>
      </c>
      <c r="I52" s="352"/>
      <c r="J52" s="352"/>
      <c r="K52" s="334"/>
      <c r="L52" s="336"/>
    </row>
    <row r="53" spans="1:14" x14ac:dyDescent="0.25">
      <c r="A53" s="339"/>
      <c r="B53" s="339"/>
      <c r="C53" s="339"/>
      <c r="D53" s="339"/>
      <c r="G53" s="71"/>
      <c r="H53" s="69">
        <f>Mar!H53</f>
        <v>0.33333333333333331</v>
      </c>
      <c r="I53" s="344">
        <f>IF(I51&gt;J51,I51-J51,0)</f>
        <v>0.33333333333333393</v>
      </c>
      <c r="J53" s="342" t="str">
        <f>IF(J51&gt;I51,J51-I51,"")</f>
        <v/>
      </c>
      <c r="K53" s="170"/>
      <c r="L53" s="170"/>
    </row>
    <row r="54" spans="1:14" ht="13.5" thickBot="1" x14ac:dyDescent="0.35">
      <c r="A54" s="341" t="s">
        <v>15</v>
      </c>
      <c r="B54" s="341"/>
      <c r="C54" s="341"/>
      <c r="D54" s="341"/>
      <c r="E54" s="72"/>
      <c r="F54" s="72"/>
      <c r="G54" s="70" t="s">
        <v>13</v>
      </c>
      <c r="H54" s="69">
        <f>Mar!H54</f>
        <v>0.33333333333333331</v>
      </c>
      <c r="I54" s="345"/>
      <c r="J54" s="343"/>
      <c r="K54" s="170"/>
      <c r="L54" s="170"/>
    </row>
    <row r="55" spans="1:14" x14ac:dyDescent="0.25">
      <c r="A55" s="338" t="s">
        <v>4</v>
      </c>
      <c r="B55" s="338"/>
      <c r="C55" s="338"/>
      <c r="D55" s="338"/>
      <c r="E55" s="72"/>
      <c r="F55" s="72"/>
      <c r="G55" s="72"/>
      <c r="H55" s="69">
        <f>Mar!H55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IF(Mantelbogen!D26=I11,Mantelbogen!C29,Mar!G58))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2">
    <mergeCell ref="A54:D54"/>
    <mergeCell ref="G60:I60"/>
    <mergeCell ref="A55:D55"/>
    <mergeCell ref="A56:D57"/>
    <mergeCell ref="I56:J58"/>
    <mergeCell ref="A58:D58"/>
    <mergeCell ref="J53:J54"/>
    <mergeCell ref="I53:I54"/>
    <mergeCell ref="F48:G48"/>
    <mergeCell ref="F49:G49"/>
    <mergeCell ref="A51:D51"/>
    <mergeCell ref="I51:I52"/>
    <mergeCell ref="J51:J52"/>
    <mergeCell ref="A52:D53"/>
    <mergeCell ref="F47:G47"/>
    <mergeCell ref="F36:G36"/>
    <mergeCell ref="F37:G37"/>
    <mergeCell ref="F38:G38"/>
    <mergeCell ref="F39:G39"/>
    <mergeCell ref="F40:G40"/>
    <mergeCell ref="F41:G41"/>
    <mergeCell ref="F42:G42"/>
    <mergeCell ref="F43:G43"/>
    <mergeCell ref="F44:G44"/>
    <mergeCell ref="F45:G45"/>
    <mergeCell ref="F46:G46"/>
    <mergeCell ref="F21:G21"/>
    <mergeCell ref="H15:H18"/>
    <mergeCell ref="F22:G22"/>
    <mergeCell ref="F35:G35"/>
    <mergeCell ref="F24:G24"/>
    <mergeCell ref="F25:G25"/>
    <mergeCell ref="F26:G26"/>
    <mergeCell ref="F27:G27"/>
    <mergeCell ref="F28:G28"/>
    <mergeCell ref="F29:G29"/>
    <mergeCell ref="F30:G30"/>
    <mergeCell ref="F31:G31"/>
    <mergeCell ref="F32:G32"/>
    <mergeCell ref="F33:G33"/>
    <mergeCell ref="F34:G34"/>
    <mergeCell ref="D15:D18"/>
    <mergeCell ref="E15:E18"/>
    <mergeCell ref="F15:G18"/>
    <mergeCell ref="F19:G19"/>
    <mergeCell ref="F20:G20"/>
    <mergeCell ref="K51:K52"/>
    <mergeCell ref="L51:L52"/>
    <mergeCell ref="G1:J7"/>
    <mergeCell ref="C3:D3"/>
    <mergeCell ref="A4:E6"/>
    <mergeCell ref="A11:B11"/>
    <mergeCell ref="A13:B13"/>
    <mergeCell ref="A15:A18"/>
    <mergeCell ref="I15:J15"/>
    <mergeCell ref="I17:I18"/>
    <mergeCell ref="J17:J18"/>
    <mergeCell ref="K15:L16"/>
    <mergeCell ref="K17:L18"/>
    <mergeCell ref="F23:G23"/>
    <mergeCell ref="B15:B18"/>
    <mergeCell ref="C15:C18"/>
  </mergeCells>
  <phoneticPr fontId="0" type="noConversion"/>
  <conditionalFormatting sqref="C19:C49">
    <cfRule type="expression" dxfId="62" priority="2">
      <formula>ISTEXT($C19)</formula>
    </cfRule>
  </conditionalFormatting>
  <conditionalFormatting sqref="E19:E49">
    <cfRule type="expression" dxfId="61" priority="11">
      <formula>AND(ISNONTEXT($C19), OR(AND($F19 &gt; 0.250001, $E19 &lt; 0.020833332), AND($F19 &gt; 0.375, $E19 &lt; 0.03124999)  ) )</formula>
    </cfRule>
  </conditionalFormatting>
  <conditionalFormatting sqref="A19:L49">
    <cfRule type="expression" dxfId="60" priority="1">
      <formula>OR($B19="Samstag", $B19="Sonntag", NOT( ISERROR(FIND("feiertag",LOWER($C19)) ) ),  NOT( ISERROR(FIND("oster",LOWER($C19)) ) ) )</formula>
    </cfRule>
  </conditionalFormatting>
  <conditionalFormatting sqref="F19:F49">
    <cfRule type="expression" dxfId="59" priority="22">
      <formula>AND(ISNONTEXT($C19),$F19 &gt; 0.666667)</formula>
    </cfRule>
  </conditionalFormatting>
  <conditionalFormatting sqref="C19:I49">
    <cfRule type="expression" dxfId="58" priority="4">
      <formula>AND($B19="Samstag", $H$56&gt;0.00001)</formula>
    </cfRule>
    <cfRule type="expression" dxfId="57" priority="5">
      <formula>AND($B19="Sonntag", $H$57&gt;0.00001)</formula>
    </cfRule>
  </conditionalFormatting>
  <conditionalFormatting sqref="C19:J49">
    <cfRule type="expression" dxfId="56"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N62"/>
  <sheetViews>
    <sheetView topLeftCell="A34" zoomScaleNormal="100" workbookViewId="0">
      <selection activeCell="I56" sqref="I56:J58"/>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54296875" style="18" customWidth="1"/>
    <col min="8" max="8" width="9.08984375" style="18" customWidth="1"/>
    <col min="9" max="9" width="10.08984375" style="18" customWidth="1"/>
    <col min="10" max="10" width="10.453125" style="18" customWidth="1"/>
    <col min="11" max="11" width="2.90625" style="18" customWidth="1"/>
    <col min="12" max="12" width="9" style="18" customWidth="1"/>
    <col min="13" max="13" width="16.36328125" style="229" customWidth="1"/>
    <col min="14" max="14" width="18.1796875" style="18" customWidth="1"/>
    <col min="15" max="16384" width="11.54296875" style="18"/>
  </cols>
  <sheetData>
    <row r="1" spans="1:12" ht="15.5" x14ac:dyDescent="0.35">
      <c r="A1" s="15" t="s">
        <v>72</v>
      </c>
      <c r="B1" s="16"/>
      <c r="C1" s="16"/>
      <c r="D1" s="16"/>
      <c r="E1" s="16"/>
      <c r="F1" s="17"/>
      <c r="G1" s="359" t="s">
        <v>9</v>
      </c>
      <c r="H1" s="359"/>
      <c r="I1" s="359"/>
      <c r="J1" s="359"/>
    </row>
    <row r="2" spans="1:12" ht="15.5" x14ac:dyDescent="0.35">
      <c r="A2" s="16"/>
      <c r="B2" s="16"/>
      <c r="C2" s="16"/>
      <c r="D2" s="16"/>
      <c r="E2" s="16"/>
      <c r="F2" s="19"/>
      <c r="G2" s="359"/>
      <c r="H2" s="359"/>
      <c r="I2" s="359"/>
      <c r="J2" s="359"/>
    </row>
    <row r="3" spans="1:12" x14ac:dyDescent="0.25">
      <c r="C3" s="360" t="s">
        <v>11</v>
      </c>
      <c r="D3" s="360"/>
      <c r="G3" s="359"/>
      <c r="H3" s="359"/>
      <c r="I3" s="359"/>
      <c r="J3" s="359"/>
    </row>
    <row r="4" spans="1:12" ht="13.25" customHeight="1" x14ac:dyDescent="0.25">
      <c r="A4" s="361" t="s">
        <v>5</v>
      </c>
      <c r="B4" s="361"/>
      <c r="C4" s="361"/>
      <c r="D4" s="361"/>
      <c r="E4" s="361"/>
      <c r="F4" s="22"/>
      <c r="G4" s="359"/>
      <c r="H4" s="359"/>
      <c r="I4" s="359"/>
      <c r="J4" s="359"/>
    </row>
    <row r="5" spans="1:12" ht="6" customHeight="1" x14ac:dyDescent="0.25">
      <c r="A5" s="361"/>
      <c r="B5" s="361"/>
      <c r="C5" s="361"/>
      <c r="D5" s="361"/>
      <c r="E5" s="361"/>
      <c r="F5" s="22"/>
      <c r="G5" s="359"/>
      <c r="H5" s="359"/>
      <c r="I5" s="359"/>
      <c r="J5" s="359"/>
    </row>
    <row r="6" spans="1:12" ht="13.25" customHeight="1" x14ac:dyDescent="0.25">
      <c r="A6" s="361"/>
      <c r="B6" s="361"/>
      <c r="C6" s="361"/>
      <c r="D6" s="361"/>
      <c r="E6" s="361"/>
      <c r="F6" s="22"/>
      <c r="G6" s="359"/>
      <c r="H6" s="359"/>
      <c r="I6" s="359"/>
      <c r="J6" s="359"/>
    </row>
    <row r="7" spans="1:12" ht="13.25" customHeight="1" x14ac:dyDescent="0.25">
      <c r="A7" s="22"/>
      <c r="B7" s="22"/>
      <c r="C7" s="22"/>
      <c r="D7" s="22"/>
      <c r="E7" s="22"/>
      <c r="F7" s="22"/>
      <c r="G7" s="359"/>
      <c r="H7" s="359"/>
      <c r="I7" s="359"/>
      <c r="J7" s="359"/>
    </row>
    <row r="8" spans="1:12" ht="6" customHeight="1" thickBot="1" x14ac:dyDescent="0.3">
      <c r="A8" s="23"/>
      <c r="B8" s="24"/>
      <c r="C8" s="24"/>
      <c r="D8" s="24"/>
      <c r="E8" s="25"/>
      <c r="F8" s="25"/>
      <c r="G8" s="25"/>
      <c r="H8" s="25"/>
      <c r="I8" s="26"/>
      <c r="J8" s="26"/>
      <c r="K8" s="27"/>
      <c r="L8" s="28"/>
    </row>
    <row r="9" spans="1:12" ht="6" customHeight="1" x14ac:dyDescent="0.25">
      <c r="A9" s="29"/>
      <c r="B9" s="30"/>
      <c r="C9" s="30"/>
      <c r="D9" s="30"/>
      <c r="E9" s="31"/>
      <c r="F9" s="31"/>
      <c r="G9" s="31"/>
      <c r="H9" s="31"/>
      <c r="I9" s="32"/>
      <c r="J9" s="32"/>
      <c r="K9" s="33"/>
      <c r="L9" s="34"/>
    </row>
    <row r="10" spans="1:12" x14ac:dyDescent="0.25">
      <c r="A10" s="29"/>
      <c r="B10" s="30"/>
      <c r="C10" s="30"/>
      <c r="D10" s="30"/>
      <c r="E10" s="31"/>
      <c r="F10" s="31"/>
      <c r="G10" s="31"/>
      <c r="I10" s="32"/>
      <c r="J10" s="32"/>
      <c r="K10" s="33"/>
      <c r="L10" s="34"/>
    </row>
    <row r="11" spans="1:12" x14ac:dyDescent="0.25">
      <c r="A11" s="357" t="s">
        <v>6</v>
      </c>
      <c r="B11" s="357"/>
      <c r="C11" s="35" t="str">
        <f>Apr!C11</f>
        <v>ATHENE, Pallas</v>
      </c>
      <c r="D11" s="36"/>
      <c r="E11" s="37"/>
      <c r="F11" s="38"/>
      <c r="G11" s="38" t="s">
        <v>8</v>
      </c>
      <c r="H11" s="39"/>
      <c r="I11" s="75" t="s">
        <v>24</v>
      </c>
      <c r="J11" s="41">
        <f>Jan!J11</f>
        <v>2024</v>
      </c>
      <c r="K11" s="42"/>
      <c r="L11" s="43"/>
    </row>
    <row r="12" spans="1:12" x14ac:dyDescent="0.25">
      <c r="B12" s="34"/>
      <c r="C12" s="44"/>
      <c r="D12" s="45"/>
      <c r="E12" s="38"/>
      <c r="F12" s="38"/>
      <c r="G12" s="31"/>
      <c r="I12" s="32"/>
      <c r="J12" s="32"/>
      <c r="K12" s="33"/>
      <c r="L12" s="34"/>
    </row>
    <row r="13" spans="1:12" x14ac:dyDescent="0.25">
      <c r="A13" s="357" t="s">
        <v>7</v>
      </c>
      <c r="B13" s="357"/>
      <c r="C13" s="35" t="str">
        <f>Apr!C13</f>
        <v>Geschäftsstelle</v>
      </c>
      <c r="D13" s="50"/>
      <c r="E13" s="37"/>
      <c r="F13" s="51"/>
      <c r="G13" s="51"/>
      <c r="H13" s="39"/>
      <c r="I13" s="36"/>
      <c r="J13" s="37"/>
      <c r="K13" s="42"/>
      <c r="L13" s="43"/>
    </row>
    <row r="14" spans="1:12" ht="13" thickBot="1" x14ac:dyDescent="0.3">
      <c r="K14" s="33"/>
      <c r="L14" s="34"/>
    </row>
    <row r="15" spans="1:12"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2" ht="13" thickBot="1" x14ac:dyDescent="0.3">
      <c r="A16" s="358"/>
      <c r="B16" s="358"/>
      <c r="C16" s="358"/>
      <c r="D16" s="358"/>
      <c r="E16" s="358"/>
      <c r="F16" s="365"/>
      <c r="G16" s="365"/>
      <c r="H16" s="363"/>
      <c r="I16" s="54" t="s">
        <v>1</v>
      </c>
      <c r="J16" s="54" t="s">
        <v>2</v>
      </c>
      <c r="K16" s="327"/>
      <c r="L16" s="328"/>
    </row>
    <row r="17" spans="1:14" ht="13" thickBot="1" x14ac:dyDescent="0.3">
      <c r="A17" s="358"/>
      <c r="B17" s="358"/>
      <c r="C17" s="358"/>
      <c r="D17" s="358"/>
      <c r="E17" s="358"/>
      <c r="F17" s="365"/>
      <c r="G17" s="365"/>
      <c r="H17" s="363"/>
      <c r="I17" s="368">
        <f>IF(Mantelbogen!D26=I11,Mantelbogen!C28,Apr!I53)</f>
        <v>0.33333333333333393</v>
      </c>
      <c r="J17" s="369" t="str">
        <f>IF(Mantelbogen!D26=I11,Mantelbogen!D28,Apr!J53)</f>
        <v/>
      </c>
      <c r="K17" s="329" t="str">
        <f>IF(I17/H58 &gt; 1, I17/H58, " " )</f>
        <v xml:space="preserve"> </v>
      </c>
      <c r="L17" s="330"/>
    </row>
    <row r="18" spans="1:14" ht="13" thickBot="1" x14ac:dyDescent="0.3">
      <c r="A18" s="358"/>
      <c r="B18" s="358"/>
      <c r="C18" s="358"/>
      <c r="D18" s="358"/>
      <c r="E18" s="358"/>
      <c r="F18" s="365"/>
      <c r="G18" s="365"/>
      <c r="H18" s="364"/>
      <c r="I18" s="368"/>
      <c r="J18" s="369"/>
      <c r="K18" s="331"/>
      <c r="L18" s="332"/>
    </row>
    <row r="19" spans="1:14" ht="17.399999999999999" customHeight="1" x14ac:dyDescent="0.25">
      <c r="A19" s="211">
        <v>1</v>
      </c>
      <c r="B19" s="203" t="str">
        <f t="shared" ref="B19:B49" si="0">TEXT(CONCATENATE(A19,".",I$11," ", J$11), "TTTT")</f>
        <v>Mittwoch</v>
      </c>
      <c r="C19" s="206" t="s">
        <v>33</v>
      </c>
      <c r="D19" s="194"/>
      <c r="E19" s="194"/>
      <c r="F19" s="353" t="str">
        <f t="shared" ref="F19" si="1">IF(OR(ISTEXT(C19),ISBLANK(C19)),"",D19-C19-E19)</f>
        <v/>
      </c>
      <c r="G19" s="354"/>
      <c r="H19" s="213" t="str">
        <f t="shared" ref="H19:H49" si="2">IF(AND(OR(ISTEXT(C19),ISBLANK(C19)),ISERR(SEARCH("ausgleich",C19,1))),"",INDEX(H$51:H$58,WEEKDAY(CONCATENATE(A19,".",I$11," ",J$11),2),1,1))</f>
        <v/>
      </c>
      <c r="I19" s="197">
        <v>0</v>
      </c>
      <c r="J19" s="190">
        <v>0</v>
      </c>
      <c r="K19" s="90" t="str">
        <f>IF(AND(B19="Sonntag",SUM(I19:I19)&lt;SUM(J19:J19)),"-","")</f>
        <v/>
      </c>
      <c r="L19" s="91" t="str">
        <f>IF(B19="Sonntag",ABS(SUM(I19:I19)-SUM(J19:J19)),"")</f>
        <v/>
      </c>
      <c r="M19" s="170"/>
      <c r="N19" s="170"/>
    </row>
    <row r="20" spans="1:14" ht="17.399999999999999" customHeight="1" x14ac:dyDescent="0.25">
      <c r="A20" s="55">
        <v>2</v>
      </c>
      <c r="B20" s="56" t="str">
        <f t="shared" si="0"/>
        <v>Donnerstag</v>
      </c>
      <c r="C20" s="4">
        <v>0.35416666666666669</v>
      </c>
      <c r="D20" s="4">
        <v>0.70833333333333337</v>
      </c>
      <c r="E20" s="4">
        <v>2.0833333333333332E-2</v>
      </c>
      <c r="F20" s="346">
        <f t="shared" ref="F20:F49" si="3">IF(OR(ISTEXT(C20),ISBLANK(C20)),"",D20-C20-E20)</f>
        <v>0.33333333333333337</v>
      </c>
      <c r="G20" s="347"/>
      <c r="H20" s="212">
        <f t="shared" si="2"/>
        <v>0.33333333333333331</v>
      </c>
      <c r="I20" s="195" t="str">
        <f>IF(OR(AND(F20&gt;H20,OR(B20&lt;&gt;"Samstag",H$56&gt;0),OR(B20&lt;&gt;"Sonntag",H$57&gt;0),AND(ISNONTEXT(C20),C20&lt;&gt;""))),F20-H20,"")</f>
        <v/>
      </c>
      <c r="J20" s="5" t="str">
        <f t="shared" ref="J20:J49" si="4">IF(NOT(ISERR(SEARCH("ausgleich",C20,1))),H20, IF(AND(F20&lt;H20,B20&lt;&gt;"Samstag",B20&lt;&gt;"Sonntag",ISNONTEXT(C20)),H20-F20,""))</f>
        <v/>
      </c>
      <c r="K20" s="8" t="str">
        <f>IF(AND(B20="Sonntag",SUM(I19:I20)&lt;SUM(J19:J20)),"-","")</f>
        <v/>
      </c>
      <c r="L20" s="9" t="str">
        <f>IF(B20="Sonntag",ABS(SUM(I19:I20)-SUM(J19:J20)),"")</f>
        <v/>
      </c>
      <c r="N20" s="170"/>
    </row>
    <row r="21" spans="1:14" ht="17.399999999999999" customHeight="1" x14ac:dyDescent="0.25">
      <c r="A21" s="55">
        <v>3</v>
      </c>
      <c r="B21" s="56" t="str">
        <f t="shared" si="0"/>
        <v>Freitag</v>
      </c>
      <c r="C21" s="4">
        <v>0.35416666666666669</v>
      </c>
      <c r="D21" s="4">
        <v>0.70833333333333337</v>
      </c>
      <c r="E21" s="4">
        <v>2.0833333333333332E-2</v>
      </c>
      <c r="F21" s="346">
        <f t="shared" si="3"/>
        <v>0.33333333333333337</v>
      </c>
      <c r="G21" s="347"/>
      <c r="H21" s="212">
        <f t="shared" si="2"/>
        <v>0.3125</v>
      </c>
      <c r="I21" s="195">
        <f t="shared" ref="I21:I49" si="5">IF(OR(AND(F21&gt;H21,OR(B21&lt;&gt;"Samstag",H$56&gt;0),OR(B21&lt;&gt;"Sonntag",H$57&gt;0),AND(ISNONTEXT(C21),C21&lt;&gt;""))),F21-H21,"")</f>
        <v>2.083333333333337E-2</v>
      </c>
      <c r="J21" s="5" t="str">
        <f t="shared" si="4"/>
        <v/>
      </c>
      <c r="K21" s="8" t="str">
        <f>IF(AND(B21="Sonntag",SUM(I19:I21)&lt;SUM(J19:J21)),"-","")</f>
        <v/>
      </c>
      <c r="L21" s="9" t="str">
        <f>IF(B21="Sonntag",ABS(SUM(I19:I21)-SUM(J19:J21)),"")</f>
        <v/>
      </c>
      <c r="M21" s="242"/>
      <c r="N21" s="170"/>
    </row>
    <row r="22" spans="1:14" ht="17.399999999999999" customHeight="1" x14ac:dyDescent="0.25">
      <c r="A22" s="55">
        <v>4</v>
      </c>
      <c r="B22" s="56" t="str">
        <f t="shared" si="0"/>
        <v>Samstag</v>
      </c>
      <c r="C22" s="4">
        <v>0.35416666666666669</v>
      </c>
      <c r="D22" s="4">
        <v>0.70833333333333337</v>
      </c>
      <c r="E22" s="4">
        <v>2.0833333333333332E-2</v>
      </c>
      <c r="F22" s="346">
        <f t="shared" si="3"/>
        <v>0.33333333333333337</v>
      </c>
      <c r="G22" s="347"/>
      <c r="H22" s="212">
        <f t="shared" si="2"/>
        <v>0</v>
      </c>
      <c r="I22" s="195" t="str">
        <f t="shared" si="5"/>
        <v/>
      </c>
      <c r="J22" s="5" t="str">
        <f t="shared" si="4"/>
        <v/>
      </c>
      <c r="K22" s="8" t="str">
        <f>IF(AND(B22="Sonntag",SUM(I19:I22)&lt;SUM(J19:J22)),"-","")</f>
        <v/>
      </c>
      <c r="L22" s="9" t="str">
        <f>IF(B22="Sonntag",ABS(SUM(I19:I22)-SUM(J19:J22)),"")</f>
        <v/>
      </c>
      <c r="N22" s="170"/>
    </row>
    <row r="23" spans="1:14" s="217" customFormat="1" ht="17.399999999999999" customHeight="1" x14ac:dyDescent="0.3">
      <c r="A23" s="55">
        <v>5</v>
      </c>
      <c r="B23" s="56" t="str">
        <f t="shared" si="0"/>
        <v>Sonntag</v>
      </c>
      <c r="C23" s="4">
        <v>0.35416666666666669</v>
      </c>
      <c r="D23" s="4">
        <v>0.70833333333333337</v>
      </c>
      <c r="E23" s="4">
        <v>2.0833333333333332E-2</v>
      </c>
      <c r="F23" s="346">
        <f t="shared" si="3"/>
        <v>0.33333333333333337</v>
      </c>
      <c r="G23" s="347"/>
      <c r="H23" s="238">
        <f t="shared" si="2"/>
        <v>0</v>
      </c>
      <c r="I23" s="195" t="str">
        <f t="shared" si="5"/>
        <v/>
      </c>
      <c r="J23" s="5" t="str">
        <f t="shared" si="4"/>
        <v/>
      </c>
      <c r="K23" s="8" t="str">
        <f>IF(AND(B23="Sonntag",SUM(I19:I23)&lt;SUM(J19:J23)),"-","")</f>
        <v/>
      </c>
      <c r="L23" s="9">
        <f>IF(B23="Sonntag",ABS(SUM(I19:I23)-SUM(J19:J23)),"")</f>
        <v>2.083333333333337E-2</v>
      </c>
      <c r="M23" s="243"/>
      <c r="N23" s="296"/>
    </row>
    <row r="24" spans="1:14" ht="17.399999999999999" customHeight="1" x14ac:dyDescent="0.25">
      <c r="A24" s="55">
        <v>6</v>
      </c>
      <c r="B24" s="56" t="str">
        <f t="shared" si="0"/>
        <v>Montag</v>
      </c>
      <c r="C24" s="4">
        <v>0.35416666666666669</v>
      </c>
      <c r="D24" s="4">
        <v>0.70833333333333337</v>
      </c>
      <c r="E24" s="4">
        <v>2.0833333333333332E-2</v>
      </c>
      <c r="F24" s="346">
        <f t="shared" si="3"/>
        <v>0.33333333333333337</v>
      </c>
      <c r="G24" s="347"/>
      <c r="H24" s="212">
        <f t="shared" si="2"/>
        <v>0.33333333333333331</v>
      </c>
      <c r="I24" s="195" t="str">
        <f t="shared" si="5"/>
        <v/>
      </c>
      <c r="J24" s="5" t="str">
        <f t="shared" si="4"/>
        <v/>
      </c>
      <c r="K24" s="8" t="str">
        <f>IF(AND(B24="Sonntag",SUM(I19:I24)&lt;SUM(J19:J24)),"-","")</f>
        <v/>
      </c>
      <c r="L24" s="9" t="str">
        <f>IF(B24="Sonntag",ABS(SUM(I19:I24)-SUM(J19:J24)),"")</f>
        <v/>
      </c>
      <c r="N24" s="170"/>
    </row>
    <row r="25" spans="1:14" ht="17.399999999999999" customHeight="1" x14ac:dyDescent="0.25">
      <c r="A25" s="55">
        <v>7</v>
      </c>
      <c r="B25" s="56" t="str">
        <f t="shared" si="0"/>
        <v>Dienstag</v>
      </c>
      <c r="C25" s="4">
        <v>0.35416666666666669</v>
      </c>
      <c r="D25" s="4">
        <v>0.70833333333333337</v>
      </c>
      <c r="E25" s="4">
        <v>2.0833333333333332E-2</v>
      </c>
      <c r="F25" s="346">
        <f t="shared" si="3"/>
        <v>0.33333333333333337</v>
      </c>
      <c r="G25" s="347"/>
      <c r="H25" s="212">
        <f t="shared" si="2"/>
        <v>0.33333333333333331</v>
      </c>
      <c r="I25" s="195" t="str">
        <f t="shared" si="5"/>
        <v/>
      </c>
      <c r="J25" s="5" t="str">
        <f t="shared" si="4"/>
        <v/>
      </c>
      <c r="K25" s="8" t="str">
        <f>IF(AND(B25="Sonntag",SUM(I19:I25)&lt;SUM(J19:J25)),"-","")</f>
        <v/>
      </c>
      <c r="L25" s="9" t="str">
        <f>IF(B25="Sonntag",ABS(SUM(I19:I25)-SUM(J19:J25)),"")</f>
        <v/>
      </c>
      <c r="N25" s="170"/>
    </row>
    <row r="26" spans="1:14" ht="17.399999999999999" customHeight="1" x14ac:dyDescent="0.25">
      <c r="A26" s="55">
        <v>8</v>
      </c>
      <c r="B26" s="56" t="str">
        <f t="shared" si="0"/>
        <v>Mittwoch</v>
      </c>
      <c r="C26" s="4">
        <v>0.35416666666666669</v>
      </c>
      <c r="D26" s="4">
        <v>0.70833333333333337</v>
      </c>
      <c r="E26" s="4">
        <v>2.0833333333333332E-2</v>
      </c>
      <c r="F26" s="346">
        <f t="shared" si="3"/>
        <v>0.33333333333333337</v>
      </c>
      <c r="G26" s="347"/>
      <c r="H26" s="212">
        <f t="shared" si="2"/>
        <v>0.33333333333333331</v>
      </c>
      <c r="I26" s="195" t="str">
        <f t="shared" si="5"/>
        <v/>
      </c>
      <c r="J26" s="5" t="str">
        <f t="shared" si="4"/>
        <v/>
      </c>
      <c r="K26" s="8" t="str">
        <f>IF(AND(B26="Sonntag",SUM(I20:I26)&lt;SUM(J20:J26)),"-","")</f>
        <v/>
      </c>
      <c r="L26" s="9" t="str">
        <f>IF(B26="Sonntag",ABS(SUM(I20:I26)-SUM(J20:J26)),"")</f>
        <v/>
      </c>
      <c r="N26" s="170"/>
    </row>
    <row r="27" spans="1:14" ht="17.399999999999999" customHeight="1" x14ac:dyDescent="0.25">
      <c r="A27" s="55">
        <v>9</v>
      </c>
      <c r="B27" s="56" t="str">
        <f t="shared" si="0"/>
        <v>Donnerstag</v>
      </c>
      <c r="C27" s="4" t="s">
        <v>96</v>
      </c>
      <c r="D27" s="4"/>
      <c r="E27" s="4"/>
      <c r="F27" s="346" t="str">
        <f t="shared" si="3"/>
        <v/>
      </c>
      <c r="G27" s="347"/>
      <c r="H27" s="212" t="str">
        <f t="shared" si="2"/>
        <v/>
      </c>
      <c r="I27" s="195" t="str">
        <f t="shared" si="5"/>
        <v/>
      </c>
      <c r="J27" s="5" t="str">
        <f t="shared" si="4"/>
        <v/>
      </c>
      <c r="K27" s="8" t="str">
        <f>IF(AND(B27="Sonntag",SUM(I21:I27)&lt;SUM(J21:J27)),"-","")</f>
        <v/>
      </c>
      <c r="L27" s="9" t="str">
        <f>IF(B27="Sonntag",ABS(SUM(I21:I27)-SUM(J21:J27)),"")</f>
        <v/>
      </c>
      <c r="N27" s="299" t="s">
        <v>120</v>
      </c>
    </row>
    <row r="28" spans="1:14" ht="17.399999999999999" customHeight="1" x14ac:dyDescent="0.25">
      <c r="A28" s="55">
        <v>10</v>
      </c>
      <c r="B28" s="56" t="str">
        <f t="shared" si="0"/>
        <v>Freitag</v>
      </c>
      <c r="C28" s="4">
        <v>0.35416666666666669</v>
      </c>
      <c r="D28" s="4">
        <v>0.70833333333333337</v>
      </c>
      <c r="E28" s="4">
        <v>2.0833333333333332E-2</v>
      </c>
      <c r="F28" s="346">
        <f t="shared" si="3"/>
        <v>0.33333333333333337</v>
      </c>
      <c r="G28" s="347"/>
      <c r="H28" s="212">
        <f t="shared" si="2"/>
        <v>0.3125</v>
      </c>
      <c r="I28" s="195">
        <f t="shared" si="5"/>
        <v>2.083333333333337E-2</v>
      </c>
      <c r="J28" s="5" t="str">
        <f t="shared" si="4"/>
        <v/>
      </c>
      <c r="K28" s="8" t="str">
        <f t="shared" ref="K28:K47" si="6">IF(AND(B28="Sonntag",SUM(I22:I28)&lt;SUM(J22:J28)),"-","")</f>
        <v/>
      </c>
      <c r="L28" s="9" t="str">
        <f t="shared" ref="L28:L47" si="7">IF(B28="Sonntag",ABS(SUM(I22:I28)-SUM(J22:J28)),"")</f>
        <v/>
      </c>
      <c r="N28" s="170"/>
    </row>
    <row r="29" spans="1:14" ht="17.399999999999999" customHeight="1" x14ac:dyDescent="0.25">
      <c r="A29" s="55">
        <v>11</v>
      </c>
      <c r="B29" s="56" t="str">
        <f t="shared" si="0"/>
        <v>Samstag</v>
      </c>
      <c r="C29" s="4">
        <v>0.35416666666666669</v>
      </c>
      <c r="D29" s="4">
        <v>0.70833333333333337</v>
      </c>
      <c r="E29" s="4">
        <v>2.0833333333333332E-2</v>
      </c>
      <c r="F29" s="346">
        <f t="shared" si="3"/>
        <v>0.33333333333333337</v>
      </c>
      <c r="G29" s="347"/>
      <c r="H29" s="212">
        <f t="shared" si="2"/>
        <v>0</v>
      </c>
      <c r="I29" s="195" t="str">
        <f t="shared" si="5"/>
        <v/>
      </c>
      <c r="J29" s="5" t="str">
        <f t="shared" si="4"/>
        <v/>
      </c>
      <c r="K29" s="8" t="str">
        <f t="shared" si="6"/>
        <v/>
      </c>
      <c r="L29" s="9" t="str">
        <f t="shared" si="7"/>
        <v/>
      </c>
      <c r="N29" s="170"/>
    </row>
    <row r="30" spans="1:14" ht="17.399999999999999" customHeight="1" x14ac:dyDescent="0.25">
      <c r="A30" s="55">
        <v>12</v>
      </c>
      <c r="B30" s="56" t="str">
        <f t="shared" si="0"/>
        <v>Sonntag</v>
      </c>
      <c r="C30" s="4">
        <v>0.35416666666666669</v>
      </c>
      <c r="D30" s="4">
        <v>0.70833333333333337</v>
      </c>
      <c r="E30" s="4">
        <v>2.0833333333333332E-2</v>
      </c>
      <c r="F30" s="346">
        <f t="shared" si="3"/>
        <v>0.33333333333333337</v>
      </c>
      <c r="G30" s="347"/>
      <c r="H30" s="212">
        <f t="shared" si="2"/>
        <v>0</v>
      </c>
      <c r="I30" s="195" t="str">
        <f t="shared" si="5"/>
        <v/>
      </c>
      <c r="J30" s="5" t="str">
        <f t="shared" si="4"/>
        <v/>
      </c>
      <c r="K30" s="8" t="str">
        <f t="shared" si="6"/>
        <v/>
      </c>
      <c r="L30" s="9">
        <f t="shared" si="7"/>
        <v>2.083333333333337E-2</v>
      </c>
      <c r="N30" s="170"/>
    </row>
    <row r="31" spans="1:14" ht="17.399999999999999" customHeight="1" x14ac:dyDescent="0.25">
      <c r="A31" s="55">
        <v>13</v>
      </c>
      <c r="B31" s="56" t="str">
        <f t="shared" si="0"/>
        <v>Montag</v>
      </c>
      <c r="C31" s="4">
        <v>0.35416666666666669</v>
      </c>
      <c r="D31" s="4">
        <v>0.70833333333333337</v>
      </c>
      <c r="E31" s="4">
        <v>2.0833333333333332E-2</v>
      </c>
      <c r="F31" s="346">
        <f>IF(OR(ISTEXT(C31),ISBLANK(C31)),"",D31-C31-E31)</f>
        <v>0.33333333333333337</v>
      </c>
      <c r="G31" s="347"/>
      <c r="H31" s="212">
        <f>IF(AND(OR(ISTEXT(C31),ISBLANK(C31)),ISERR(SEARCH("ausgleich",C31,1))),"",INDEX(H$51:H$58,WEEKDAY(CONCATENATE(A31,".",I$11," ",J$11),2),1,1))</f>
        <v>0.33333333333333331</v>
      </c>
      <c r="I31" s="195" t="str">
        <f>IF(OR(AND(F31&gt;H31,OR(B31&lt;&gt;"Samstag",H$56&gt;0),OR(B31&lt;&gt;"Sonntag",H$57&gt;0),AND(ISNONTEXT(C31),C31&lt;&gt;""))),F31-H31,"")</f>
        <v/>
      </c>
      <c r="J31" s="5" t="str">
        <f>IF(NOT(ISERR(SEARCH("ausgleich",C31,1))),H31, IF(AND(F31&lt;H31,B31&lt;&gt;"Samstag",B31&lt;&gt;"Sonntag",ISNONTEXT(C31)),H31-F31,""))</f>
        <v/>
      </c>
      <c r="K31" s="8" t="str">
        <f t="shared" si="6"/>
        <v/>
      </c>
      <c r="L31" s="9" t="str">
        <f t="shared" si="7"/>
        <v/>
      </c>
      <c r="N31" s="170"/>
    </row>
    <row r="32" spans="1:14" ht="17.399999999999999" customHeight="1" x14ac:dyDescent="0.25">
      <c r="A32" s="55">
        <v>14</v>
      </c>
      <c r="B32" s="56" t="str">
        <f t="shared" si="0"/>
        <v>Dienstag</v>
      </c>
      <c r="C32" s="4">
        <v>0.35416666666666669</v>
      </c>
      <c r="D32" s="4">
        <v>0.70833333333333337</v>
      </c>
      <c r="E32" s="4">
        <v>2.0833333333333332E-2</v>
      </c>
      <c r="F32" s="346">
        <f t="shared" si="3"/>
        <v>0.33333333333333337</v>
      </c>
      <c r="G32" s="347"/>
      <c r="H32" s="212">
        <f t="shared" si="2"/>
        <v>0.33333333333333331</v>
      </c>
      <c r="I32" s="195" t="str">
        <f t="shared" si="5"/>
        <v/>
      </c>
      <c r="J32" s="5" t="str">
        <f t="shared" si="4"/>
        <v/>
      </c>
      <c r="K32" s="8" t="str">
        <f t="shared" si="6"/>
        <v/>
      </c>
      <c r="L32" s="9" t="str">
        <f t="shared" si="7"/>
        <v/>
      </c>
      <c r="N32" s="170"/>
    </row>
    <row r="33" spans="1:14" ht="17.399999999999999" customHeight="1" x14ac:dyDescent="0.3">
      <c r="A33" s="55">
        <v>15</v>
      </c>
      <c r="B33" s="56" t="str">
        <f t="shared" si="0"/>
        <v>Mittwoch</v>
      </c>
      <c r="C33" s="4">
        <v>0.35416666666666669</v>
      </c>
      <c r="D33" s="4">
        <v>0.70833333333333337</v>
      </c>
      <c r="E33" s="4">
        <v>2.0833333333333332E-2</v>
      </c>
      <c r="F33" s="346">
        <f t="shared" si="3"/>
        <v>0.33333333333333337</v>
      </c>
      <c r="G33" s="347"/>
      <c r="H33" s="212">
        <f t="shared" si="2"/>
        <v>0.33333333333333331</v>
      </c>
      <c r="I33" s="195" t="str">
        <f t="shared" si="5"/>
        <v/>
      </c>
      <c r="J33" s="5" t="str">
        <f t="shared" si="4"/>
        <v/>
      </c>
      <c r="K33" s="8" t="str">
        <f t="shared" si="6"/>
        <v/>
      </c>
      <c r="L33" s="9" t="str">
        <f t="shared" si="7"/>
        <v/>
      </c>
      <c r="M33" s="241"/>
      <c r="N33" s="170"/>
    </row>
    <row r="34" spans="1:14" ht="17.399999999999999" customHeight="1" x14ac:dyDescent="0.3">
      <c r="A34" s="55">
        <v>16</v>
      </c>
      <c r="B34" s="56" t="str">
        <f t="shared" si="0"/>
        <v>Donnerstag</v>
      </c>
      <c r="C34" s="4">
        <v>0.35416666666666669</v>
      </c>
      <c r="D34" s="4">
        <v>0.70833333333333337</v>
      </c>
      <c r="E34" s="4">
        <v>2.0833333333333332E-2</v>
      </c>
      <c r="F34" s="346">
        <f t="shared" si="3"/>
        <v>0.33333333333333337</v>
      </c>
      <c r="G34" s="347"/>
      <c r="H34" s="212">
        <f t="shared" si="2"/>
        <v>0.33333333333333331</v>
      </c>
      <c r="I34" s="195" t="str">
        <f t="shared" si="5"/>
        <v/>
      </c>
      <c r="J34" s="5" t="str">
        <f t="shared" si="4"/>
        <v/>
      </c>
      <c r="K34" s="8" t="str">
        <f t="shared" si="6"/>
        <v/>
      </c>
      <c r="L34" s="9" t="str">
        <f t="shared" si="7"/>
        <v/>
      </c>
      <c r="M34" s="241"/>
      <c r="N34" s="170"/>
    </row>
    <row r="35" spans="1:14" ht="17.399999999999999" customHeight="1" x14ac:dyDescent="0.25">
      <c r="A35" s="55">
        <v>17</v>
      </c>
      <c r="B35" s="56" t="str">
        <f t="shared" si="0"/>
        <v>Freitag</v>
      </c>
      <c r="C35" s="4">
        <v>0.35416666666666669</v>
      </c>
      <c r="D35" s="4">
        <v>0.70833333333333337</v>
      </c>
      <c r="E35" s="4">
        <v>2.0833333333333332E-2</v>
      </c>
      <c r="F35" s="346">
        <f t="shared" si="3"/>
        <v>0.33333333333333337</v>
      </c>
      <c r="G35" s="347"/>
      <c r="H35" s="212">
        <f t="shared" si="2"/>
        <v>0.3125</v>
      </c>
      <c r="I35" s="195">
        <f t="shared" si="5"/>
        <v>2.083333333333337E-2</v>
      </c>
      <c r="J35" s="5" t="str">
        <f t="shared" si="4"/>
        <v/>
      </c>
      <c r="K35" s="8" t="str">
        <f t="shared" si="6"/>
        <v/>
      </c>
      <c r="L35" s="9" t="str">
        <f t="shared" si="7"/>
        <v/>
      </c>
      <c r="N35" s="170"/>
    </row>
    <row r="36" spans="1:14" ht="17.399999999999999" customHeight="1" x14ac:dyDescent="0.25">
      <c r="A36" s="55">
        <v>18</v>
      </c>
      <c r="B36" s="56" t="str">
        <f t="shared" si="0"/>
        <v>Samstag</v>
      </c>
      <c r="C36" s="4"/>
      <c r="D36" s="4"/>
      <c r="E36" s="4"/>
      <c r="F36" s="346" t="str">
        <f t="shared" si="3"/>
        <v/>
      </c>
      <c r="G36" s="347"/>
      <c r="H36" s="212" t="str">
        <f t="shared" si="2"/>
        <v/>
      </c>
      <c r="I36" s="195" t="str">
        <f t="shared" si="5"/>
        <v/>
      </c>
      <c r="J36" s="5" t="str">
        <f t="shared" si="4"/>
        <v/>
      </c>
      <c r="K36" s="8" t="str">
        <f t="shared" si="6"/>
        <v/>
      </c>
      <c r="L36" s="9" t="str">
        <f t="shared" si="7"/>
        <v/>
      </c>
      <c r="N36" s="284"/>
    </row>
    <row r="37" spans="1:14" ht="17.399999999999999" customHeight="1" x14ac:dyDescent="0.25">
      <c r="A37" s="55">
        <v>19</v>
      </c>
      <c r="B37" s="56" t="str">
        <f t="shared" si="0"/>
        <v>Sonntag</v>
      </c>
      <c r="C37" s="4">
        <v>0.35416666666666669</v>
      </c>
      <c r="D37" s="4">
        <v>0.70833333333333337</v>
      </c>
      <c r="E37" s="4">
        <v>2.0833333333333332E-2</v>
      </c>
      <c r="F37" s="346">
        <f t="shared" si="3"/>
        <v>0.33333333333333337</v>
      </c>
      <c r="G37" s="347"/>
      <c r="H37" s="212">
        <f t="shared" si="2"/>
        <v>0</v>
      </c>
      <c r="I37" s="195" t="str">
        <f t="shared" si="5"/>
        <v/>
      </c>
      <c r="J37" s="5" t="str">
        <f t="shared" si="4"/>
        <v/>
      </c>
      <c r="K37" s="8" t="str">
        <f t="shared" si="6"/>
        <v/>
      </c>
      <c r="L37" s="9">
        <f t="shared" si="7"/>
        <v>2.083333333333337E-2</v>
      </c>
      <c r="N37" s="170"/>
    </row>
    <row r="38" spans="1:14" ht="17.399999999999999" customHeight="1" x14ac:dyDescent="0.3">
      <c r="A38" s="55">
        <v>20</v>
      </c>
      <c r="B38" s="56" t="str">
        <f t="shared" si="0"/>
        <v>Montag</v>
      </c>
      <c r="C38" s="4" t="s">
        <v>96</v>
      </c>
      <c r="D38" s="4"/>
      <c r="E38" s="4"/>
      <c r="F38" s="346" t="str">
        <f t="shared" si="3"/>
        <v/>
      </c>
      <c r="G38" s="347"/>
      <c r="H38" s="212" t="str">
        <f t="shared" si="2"/>
        <v/>
      </c>
      <c r="I38" s="195" t="str">
        <f t="shared" si="5"/>
        <v/>
      </c>
      <c r="J38" s="5" t="str">
        <f t="shared" si="4"/>
        <v/>
      </c>
      <c r="K38" s="8" t="str">
        <f t="shared" si="6"/>
        <v/>
      </c>
      <c r="L38" s="9" t="str">
        <f t="shared" si="7"/>
        <v/>
      </c>
      <c r="M38" s="241"/>
      <c r="N38" s="299" t="s">
        <v>119</v>
      </c>
    </row>
    <row r="39" spans="1:14" ht="17.399999999999999" customHeight="1" x14ac:dyDescent="0.25">
      <c r="A39" s="55">
        <v>21</v>
      </c>
      <c r="B39" s="56" t="str">
        <f t="shared" si="0"/>
        <v>Dienstag</v>
      </c>
      <c r="C39" s="4">
        <v>0.35416666666666669</v>
      </c>
      <c r="D39" s="4">
        <v>0.70833333333333337</v>
      </c>
      <c r="E39" s="4">
        <v>2.0833333333333332E-2</v>
      </c>
      <c r="F39" s="346">
        <f>IF(OR(ISTEXT(C39),ISBLANK(C39)),"",D39-C39-E39)</f>
        <v>0.33333333333333337</v>
      </c>
      <c r="G39" s="347"/>
      <c r="H39" s="212">
        <f>IF(AND(OR(ISTEXT(C39),ISBLANK(C39)),ISERR(SEARCH("ausgleich",C39,1))),"",INDEX(H$51:H$58,WEEKDAY(CONCATENATE(A39,".",I$11," ",J$11),2),1,1))</f>
        <v>0.33333333333333331</v>
      </c>
      <c r="I39" s="195" t="str">
        <f>IF(OR(AND(F39&gt;H39,OR(B39&lt;&gt;"Samstag",H$56&gt;0),OR(B39&lt;&gt;"Sonntag",H$57&gt;0),AND(ISNONTEXT(C39),C39&lt;&gt;""))),F39-H39,"")</f>
        <v/>
      </c>
      <c r="J39" s="5" t="str">
        <f>IF(NOT(ISERR(SEARCH("ausgleich",C39,1))),H39, IF(AND(F39&lt;H39,B39&lt;&gt;"Samstag",B39&lt;&gt;"Sonntag",ISNONTEXT(C39)),H39-F39,""))</f>
        <v/>
      </c>
      <c r="K39" s="8" t="str">
        <f t="shared" si="6"/>
        <v/>
      </c>
      <c r="L39" s="9" t="str">
        <f t="shared" si="7"/>
        <v/>
      </c>
      <c r="N39" s="283" t="s">
        <v>121</v>
      </c>
    </row>
    <row r="40" spans="1:14" ht="17.399999999999999" customHeight="1" x14ac:dyDescent="0.25">
      <c r="A40" s="55">
        <v>22</v>
      </c>
      <c r="B40" s="56" t="str">
        <f t="shared" si="0"/>
        <v>Mittwoch</v>
      </c>
      <c r="C40" s="4">
        <v>0.35416666666666669</v>
      </c>
      <c r="D40" s="4">
        <v>0.70833333333333337</v>
      </c>
      <c r="E40" s="4">
        <v>2.0833333333333332E-2</v>
      </c>
      <c r="F40" s="346">
        <f t="shared" si="3"/>
        <v>0.33333333333333337</v>
      </c>
      <c r="G40" s="347"/>
      <c r="H40" s="212">
        <f t="shared" si="2"/>
        <v>0.33333333333333331</v>
      </c>
      <c r="I40" s="195" t="str">
        <f t="shared" si="5"/>
        <v/>
      </c>
      <c r="J40" s="5" t="str">
        <f t="shared" si="4"/>
        <v/>
      </c>
      <c r="K40" s="8" t="str">
        <f t="shared" si="6"/>
        <v/>
      </c>
      <c r="L40" s="9" t="str">
        <f t="shared" si="7"/>
        <v/>
      </c>
      <c r="N40" s="170"/>
    </row>
    <row r="41" spans="1:14" ht="17.399999999999999" customHeight="1" x14ac:dyDescent="0.25">
      <c r="A41" s="55">
        <v>23</v>
      </c>
      <c r="B41" s="56" t="str">
        <f t="shared" si="0"/>
        <v>Donnerstag</v>
      </c>
      <c r="C41" s="4">
        <v>0.35416666666666669</v>
      </c>
      <c r="D41" s="4">
        <v>0.70833333333333337</v>
      </c>
      <c r="E41" s="4">
        <v>2.0833333333333332E-2</v>
      </c>
      <c r="F41" s="346">
        <f t="shared" si="3"/>
        <v>0.33333333333333337</v>
      </c>
      <c r="G41" s="347"/>
      <c r="H41" s="212">
        <f t="shared" si="2"/>
        <v>0.33333333333333331</v>
      </c>
      <c r="I41" s="195" t="str">
        <f t="shared" si="5"/>
        <v/>
      </c>
      <c r="J41" s="5" t="str">
        <f t="shared" si="4"/>
        <v/>
      </c>
      <c r="K41" s="8" t="str">
        <f t="shared" si="6"/>
        <v/>
      </c>
      <c r="L41" s="9" t="str">
        <f t="shared" si="7"/>
        <v/>
      </c>
      <c r="N41" s="170"/>
    </row>
    <row r="42" spans="1:14" ht="17.399999999999999" customHeight="1" x14ac:dyDescent="0.25">
      <c r="A42" s="55">
        <v>24</v>
      </c>
      <c r="B42" s="56" t="str">
        <f t="shared" si="0"/>
        <v>Freitag</v>
      </c>
      <c r="C42" s="4">
        <v>0.35416666666666669</v>
      </c>
      <c r="D42" s="4">
        <v>0.70833333333333337</v>
      </c>
      <c r="E42" s="4">
        <v>2.0833333333333332E-2</v>
      </c>
      <c r="F42" s="346">
        <f t="shared" si="3"/>
        <v>0.33333333333333337</v>
      </c>
      <c r="G42" s="347"/>
      <c r="H42" s="212">
        <f t="shared" si="2"/>
        <v>0.3125</v>
      </c>
      <c r="I42" s="195">
        <f t="shared" si="5"/>
        <v>2.083333333333337E-2</v>
      </c>
      <c r="J42" s="5" t="str">
        <f t="shared" si="4"/>
        <v/>
      </c>
      <c r="K42" s="8" t="str">
        <f t="shared" si="6"/>
        <v/>
      </c>
      <c r="L42" s="9" t="str">
        <f t="shared" si="7"/>
        <v/>
      </c>
      <c r="M42" s="284"/>
      <c r="N42" s="170"/>
    </row>
    <row r="43" spans="1:14" ht="17.399999999999999" customHeight="1" x14ac:dyDescent="0.3">
      <c r="A43" s="55">
        <v>25</v>
      </c>
      <c r="B43" s="56" t="str">
        <f t="shared" si="0"/>
        <v>Samstag</v>
      </c>
      <c r="C43" s="4">
        <v>0.35416666666666669</v>
      </c>
      <c r="D43" s="4">
        <v>0.70833333333333337</v>
      </c>
      <c r="E43" s="4">
        <v>2.0833333333333332E-2</v>
      </c>
      <c r="F43" s="346">
        <f t="shared" si="3"/>
        <v>0.33333333333333337</v>
      </c>
      <c r="G43" s="347"/>
      <c r="H43" s="269">
        <f t="shared" si="2"/>
        <v>0</v>
      </c>
      <c r="I43" s="195" t="str">
        <f t="shared" si="5"/>
        <v/>
      </c>
      <c r="J43" s="5" t="str">
        <f t="shared" si="4"/>
        <v/>
      </c>
      <c r="K43" s="8" t="str">
        <f t="shared" si="6"/>
        <v/>
      </c>
      <c r="L43" s="9" t="str">
        <f t="shared" si="7"/>
        <v/>
      </c>
      <c r="M43" s="241"/>
      <c r="N43" s="170"/>
    </row>
    <row r="44" spans="1:14" ht="17.399999999999999" customHeight="1" x14ac:dyDescent="0.3">
      <c r="A44" s="55">
        <v>26</v>
      </c>
      <c r="B44" s="56" t="str">
        <f t="shared" si="0"/>
        <v>Sonntag</v>
      </c>
      <c r="C44" s="298">
        <v>0.35416666666666669</v>
      </c>
      <c r="D44" s="298">
        <v>0.70833333333333337</v>
      </c>
      <c r="E44" s="298">
        <v>2.0833333333333332E-2</v>
      </c>
      <c r="F44" s="346">
        <f t="shared" si="3"/>
        <v>0.33333333333333337</v>
      </c>
      <c r="G44" s="347"/>
      <c r="H44" s="238">
        <f t="shared" si="2"/>
        <v>0</v>
      </c>
      <c r="I44" s="195" t="str">
        <f t="shared" si="5"/>
        <v/>
      </c>
      <c r="J44" s="5" t="str">
        <f t="shared" si="4"/>
        <v/>
      </c>
      <c r="K44" s="8" t="str">
        <f t="shared" si="6"/>
        <v/>
      </c>
      <c r="L44" s="9">
        <f t="shared" si="7"/>
        <v>2.083333333333337E-2</v>
      </c>
      <c r="M44" s="241"/>
    </row>
    <row r="45" spans="1:14" ht="17.399999999999999" customHeight="1" x14ac:dyDescent="0.25">
      <c r="A45" s="55">
        <v>27</v>
      </c>
      <c r="B45" s="56" t="str">
        <f t="shared" si="0"/>
        <v>Montag</v>
      </c>
      <c r="C45" s="4">
        <v>0.35416666666666669</v>
      </c>
      <c r="D45" s="4">
        <v>0.70833333333333337</v>
      </c>
      <c r="E45" s="4">
        <v>2.0833333333333332E-2</v>
      </c>
      <c r="F45" s="346">
        <f t="shared" si="3"/>
        <v>0.33333333333333337</v>
      </c>
      <c r="G45" s="347"/>
      <c r="H45" s="212">
        <f t="shared" si="2"/>
        <v>0.33333333333333331</v>
      </c>
      <c r="I45" s="195" t="str">
        <f t="shared" si="5"/>
        <v/>
      </c>
      <c r="J45" s="5" t="str">
        <f t="shared" si="4"/>
        <v/>
      </c>
      <c r="K45" s="8" t="str">
        <f t="shared" si="6"/>
        <v/>
      </c>
      <c r="L45" s="9" t="str">
        <f t="shared" si="7"/>
        <v/>
      </c>
    </row>
    <row r="46" spans="1:14" ht="17.399999999999999" customHeight="1" x14ac:dyDescent="0.25">
      <c r="A46" s="55">
        <v>28</v>
      </c>
      <c r="B46" s="56" t="str">
        <f t="shared" si="0"/>
        <v>Dienstag</v>
      </c>
      <c r="C46" s="4">
        <v>0.35416666666666669</v>
      </c>
      <c r="D46" s="4">
        <v>0.70833333333333337</v>
      </c>
      <c r="E46" s="4">
        <v>2.0833333333333332E-2</v>
      </c>
      <c r="F46" s="346">
        <f t="shared" si="3"/>
        <v>0.33333333333333337</v>
      </c>
      <c r="G46" s="347"/>
      <c r="H46" s="212">
        <f t="shared" si="2"/>
        <v>0.33333333333333331</v>
      </c>
      <c r="I46" s="195" t="str">
        <f t="shared" si="5"/>
        <v/>
      </c>
      <c r="J46" s="5" t="str">
        <f t="shared" si="4"/>
        <v/>
      </c>
      <c r="K46" s="8" t="str">
        <f t="shared" si="6"/>
        <v/>
      </c>
      <c r="L46" s="9" t="str">
        <f t="shared" si="7"/>
        <v/>
      </c>
    </row>
    <row r="47" spans="1:14" ht="17.399999999999999" customHeight="1" x14ac:dyDescent="0.25">
      <c r="A47" s="55">
        <v>29</v>
      </c>
      <c r="B47" s="56" t="str">
        <f t="shared" si="0"/>
        <v>Mittwoch</v>
      </c>
      <c r="C47" s="4">
        <v>0.35416666666666669</v>
      </c>
      <c r="D47" s="4">
        <v>0.70833333333333337</v>
      </c>
      <c r="E47" s="4">
        <v>2.0833333333333332E-2</v>
      </c>
      <c r="F47" s="346">
        <f t="shared" si="3"/>
        <v>0.33333333333333337</v>
      </c>
      <c r="G47" s="347"/>
      <c r="H47" s="212">
        <f t="shared" si="2"/>
        <v>0.33333333333333331</v>
      </c>
      <c r="I47" s="195" t="str">
        <f t="shared" si="5"/>
        <v/>
      </c>
      <c r="J47" s="5" t="str">
        <f t="shared" si="4"/>
        <v/>
      </c>
      <c r="K47" s="8" t="str">
        <f t="shared" si="6"/>
        <v/>
      </c>
      <c r="L47" s="9" t="str">
        <f t="shared" si="7"/>
        <v/>
      </c>
      <c r="N47" s="283"/>
    </row>
    <row r="48" spans="1:14" ht="17.399999999999999" customHeight="1" x14ac:dyDescent="0.25">
      <c r="A48" s="55">
        <v>30</v>
      </c>
      <c r="B48" s="56" t="str">
        <f t="shared" si="0"/>
        <v>Donnerstag</v>
      </c>
      <c r="C48" s="4" t="s">
        <v>96</v>
      </c>
      <c r="D48" s="4">
        <v>0.70833333333333337</v>
      </c>
      <c r="E48" s="4">
        <v>2.0833333333333332E-2</v>
      </c>
      <c r="F48" s="346" t="str">
        <f t="shared" si="3"/>
        <v/>
      </c>
      <c r="G48" s="347"/>
      <c r="H48" s="212" t="str">
        <f t="shared" si="2"/>
        <v/>
      </c>
      <c r="I48" s="195" t="str">
        <f t="shared" si="5"/>
        <v/>
      </c>
      <c r="J48" s="5" t="str">
        <f t="shared" si="4"/>
        <v/>
      </c>
      <c r="K48" s="8" t="str">
        <f>IF(AND(B48="Sonntag",SUM(I42:I48)&lt;SUM(J42:J48)),"-","")</f>
        <v/>
      </c>
      <c r="L48" s="9" t="str">
        <f>IF(B48="Sonntag",ABS(SUM(I42:I48)-SUM(J42:J48)),"")</f>
        <v/>
      </c>
      <c r="M48" s="242"/>
      <c r="N48" s="74" t="s">
        <v>122</v>
      </c>
    </row>
    <row r="49" spans="1:14" ht="17.399999999999999" customHeight="1" x14ac:dyDescent="0.3">
      <c r="A49" s="55">
        <v>31</v>
      </c>
      <c r="B49" s="56" t="str">
        <f t="shared" si="0"/>
        <v>Freitag</v>
      </c>
      <c r="C49" s="4">
        <v>0.35416666666666669</v>
      </c>
      <c r="D49" s="4">
        <v>0.70833333333333337</v>
      </c>
      <c r="E49" s="4">
        <v>2.0833333333333332E-2</v>
      </c>
      <c r="F49" s="346">
        <f t="shared" si="3"/>
        <v>0.33333333333333337</v>
      </c>
      <c r="G49" s="347"/>
      <c r="H49" s="212">
        <f t="shared" si="2"/>
        <v>0.3125</v>
      </c>
      <c r="I49" s="195">
        <f t="shared" si="5"/>
        <v>2.083333333333337E-2</v>
      </c>
      <c r="J49" s="5" t="str">
        <f t="shared" si="4"/>
        <v/>
      </c>
      <c r="K49" s="10" t="str">
        <f ca="1">IF(SUM(INDIRECT("I"&amp;ROW()-WEEKDAY(CONCATENATE(A49,".",I$11," ",J$11),3)):I49) &lt; SUM(INDIRECT("j"&amp;ROW()-WEEKDAY(CONCATENATE(A49,".",I$11," ",J$11),3)):J49),"-","")</f>
        <v/>
      </c>
      <c r="L49" s="11">
        <f ca="1">ABS(SUM(INDIRECT("I"&amp;ROW()-WEEKDAY(CONCATENATE(A49,".",I$11," ",J$11),3)):I49)-SUM(INDIRECT("j"&amp;ROW()-WEEKDAY(CONCATENATE(A49,".",I$11," ",J$11),3)):J49))</f>
        <v>2.083333333333337E-2</v>
      </c>
      <c r="N49" s="283" t="s">
        <v>116</v>
      </c>
    </row>
    <row r="50" spans="1:14" s="68" customFormat="1" ht="17.399999999999999" customHeight="1" thickBot="1" x14ac:dyDescent="0.3">
      <c r="A50" s="59" t="str">
        <f>Jan!A50</f>
        <v>Sonstige Zeiten laut beigefügter Aufstellung (s. Anlage):</v>
      </c>
      <c r="B50" s="60"/>
      <c r="C50" s="61"/>
      <c r="D50" s="62"/>
      <c r="E50" s="62"/>
      <c r="F50" s="62"/>
      <c r="G50" s="62"/>
      <c r="H50" s="63"/>
      <c r="I50" s="221">
        <v>0</v>
      </c>
      <c r="J50" s="222">
        <v>0</v>
      </c>
      <c r="K50" s="66"/>
      <c r="L50" s="67"/>
      <c r="M50" s="244"/>
      <c r="N50" s="171"/>
    </row>
    <row r="51" spans="1:14" x14ac:dyDescent="0.25">
      <c r="A51" s="350" t="s">
        <v>3</v>
      </c>
      <c r="B51" s="350"/>
      <c r="C51" s="350"/>
      <c r="D51" s="350"/>
      <c r="H51" s="69">
        <f>Apr!H51</f>
        <v>0.33333333333333331</v>
      </c>
      <c r="I51" s="351">
        <f>SUM(I17:I50)</f>
        <v>0.43750000000000078</v>
      </c>
      <c r="J51" s="351">
        <f>SUM(J17:J50)</f>
        <v>0</v>
      </c>
      <c r="K51" s="333" t="str">
        <f ca="1">IF(SUMIF(K19:K49,"",L19:L49)&lt;SUMIF(K19:K49,"-",L19:L49),"-","")</f>
        <v/>
      </c>
      <c r="L51" s="335">
        <f ca="1">ABS(SUMIF(K19:K49,"",L19:L49)-SUMIF(K19:K49,"-",L19:L49))</f>
        <v>0.10416666666666685</v>
      </c>
    </row>
    <row r="52" spans="1:14" ht="13.5" thickBot="1" x14ac:dyDescent="0.35">
      <c r="A52" s="339"/>
      <c r="B52" s="339"/>
      <c r="C52" s="339"/>
      <c r="D52" s="339"/>
      <c r="G52" s="70" t="s">
        <v>12</v>
      </c>
      <c r="H52" s="69">
        <f>Apr!H52</f>
        <v>0.33333333333333331</v>
      </c>
      <c r="I52" s="352"/>
      <c r="J52" s="352"/>
      <c r="K52" s="334"/>
      <c r="L52" s="336"/>
    </row>
    <row r="53" spans="1:14" x14ac:dyDescent="0.25">
      <c r="A53" s="339"/>
      <c r="B53" s="339"/>
      <c r="C53" s="339"/>
      <c r="D53" s="339"/>
      <c r="G53" s="71"/>
      <c r="H53" s="69">
        <f>Apr!H53</f>
        <v>0.33333333333333331</v>
      </c>
      <c r="I53" s="344">
        <f>IF(I51&gt;J51,I51-J51,0)</f>
        <v>0.43750000000000078</v>
      </c>
      <c r="J53" s="342" t="str">
        <f>IF(J51&gt;I51,J51-I51,"")</f>
        <v/>
      </c>
      <c r="K53" s="170"/>
      <c r="L53" s="170"/>
    </row>
    <row r="54" spans="1:14" ht="13.5" thickBot="1" x14ac:dyDescent="0.35">
      <c r="A54" s="341" t="s">
        <v>15</v>
      </c>
      <c r="B54" s="341"/>
      <c r="C54" s="341"/>
      <c r="D54" s="341"/>
      <c r="E54" s="72"/>
      <c r="F54" s="72"/>
      <c r="G54" s="70" t="s">
        <v>13</v>
      </c>
      <c r="H54" s="69">
        <f>Apr!H54</f>
        <v>0.33333333333333331</v>
      </c>
      <c r="I54" s="345"/>
      <c r="J54" s="343"/>
      <c r="K54" s="170"/>
      <c r="L54" s="170"/>
    </row>
    <row r="55" spans="1:14" x14ac:dyDescent="0.25">
      <c r="A55" s="338" t="s">
        <v>4</v>
      </c>
      <c r="B55" s="338"/>
      <c r="C55" s="338"/>
      <c r="D55" s="338"/>
      <c r="E55" s="72"/>
      <c r="F55" s="72"/>
      <c r="G55" s="72"/>
      <c r="H55" s="69">
        <f>Apr!H55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IF(Mantelbogen!D26=I11,Mantelbogen!C29,Apr!G58))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2">
    <mergeCell ref="A54:D54"/>
    <mergeCell ref="G60:I60"/>
    <mergeCell ref="A55:D55"/>
    <mergeCell ref="A56:D57"/>
    <mergeCell ref="I56:J58"/>
    <mergeCell ref="A58:D58"/>
    <mergeCell ref="J53:J54"/>
    <mergeCell ref="I53:I54"/>
    <mergeCell ref="F48:G48"/>
    <mergeCell ref="F49:G49"/>
    <mergeCell ref="A51:D51"/>
    <mergeCell ref="I51:I52"/>
    <mergeCell ref="J51:J52"/>
    <mergeCell ref="A52:D53"/>
    <mergeCell ref="F47:G47"/>
    <mergeCell ref="F36:G36"/>
    <mergeCell ref="F37:G37"/>
    <mergeCell ref="F38:G38"/>
    <mergeCell ref="F39:G39"/>
    <mergeCell ref="F40:G40"/>
    <mergeCell ref="F41:G41"/>
    <mergeCell ref="F42:G42"/>
    <mergeCell ref="F43:G43"/>
    <mergeCell ref="F44:G44"/>
    <mergeCell ref="F45:G45"/>
    <mergeCell ref="F46:G46"/>
    <mergeCell ref="F21:G21"/>
    <mergeCell ref="H15:H18"/>
    <mergeCell ref="F22:G22"/>
    <mergeCell ref="F35:G35"/>
    <mergeCell ref="F24:G24"/>
    <mergeCell ref="F25:G25"/>
    <mergeCell ref="F26:G26"/>
    <mergeCell ref="F27:G27"/>
    <mergeCell ref="F28:G28"/>
    <mergeCell ref="F29:G29"/>
    <mergeCell ref="F30:G30"/>
    <mergeCell ref="F31:G31"/>
    <mergeCell ref="F32:G32"/>
    <mergeCell ref="F33:G33"/>
    <mergeCell ref="F34:G34"/>
    <mergeCell ref="D15:D18"/>
    <mergeCell ref="E15:E18"/>
    <mergeCell ref="F15:G18"/>
    <mergeCell ref="F19:G19"/>
    <mergeCell ref="F20:G20"/>
    <mergeCell ref="K51:K52"/>
    <mergeCell ref="L51:L52"/>
    <mergeCell ref="G1:J7"/>
    <mergeCell ref="C3:D3"/>
    <mergeCell ref="A4:E6"/>
    <mergeCell ref="A11:B11"/>
    <mergeCell ref="A13:B13"/>
    <mergeCell ref="A15:A18"/>
    <mergeCell ref="I15:J15"/>
    <mergeCell ref="I17:I18"/>
    <mergeCell ref="J17:J18"/>
    <mergeCell ref="K15:L16"/>
    <mergeCell ref="K17:L18"/>
    <mergeCell ref="F23:G23"/>
    <mergeCell ref="B15:B18"/>
    <mergeCell ref="C15:C18"/>
  </mergeCells>
  <phoneticPr fontId="0" type="noConversion"/>
  <conditionalFormatting sqref="C19:C49">
    <cfRule type="expression" dxfId="55" priority="2">
      <formula>ISTEXT($C19)</formula>
    </cfRule>
  </conditionalFormatting>
  <conditionalFormatting sqref="E19:E49">
    <cfRule type="expression" dxfId="54" priority="13">
      <formula>AND(ISNONTEXT($C19), OR(AND($F19 &gt; 0.250001, $E19 &lt; 0.020833332), AND($F19 &gt; 0.375, $E19 &lt; 0.03124999)  ) )</formula>
    </cfRule>
  </conditionalFormatting>
  <conditionalFormatting sqref="A19:L49">
    <cfRule type="expression" dxfId="53" priority="1">
      <formula>OR($B19="Samstag", $B19="Sonntag", NOT( ISERROR(FIND("feiertag",LOWER($C19)) ) ),  NOT( ISERROR(FIND("pfingst",LOWER($C19)) ) ) )</formula>
    </cfRule>
  </conditionalFormatting>
  <conditionalFormatting sqref="F19:F49">
    <cfRule type="expression" dxfId="52" priority="16">
      <formula>AND(ISNONTEXT($C19),$F19 &gt; 0.666667)</formula>
    </cfRule>
  </conditionalFormatting>
  <conditionalFormatting sqref="C19:I49">
    <cfRule type="expression" dxfId="51" priority="4">
      <formula>AND($B19="Samstag", $H$56&gt;0.00001)</formula>
    </cfRule>
    <cfRule type="expression" dxfId="50" priority="5">
      <formula>AND($B19="Sonntag", $H$57&gt;0.00001)</formula>
    </cfRule>
  </conditionalFormatting>
  <conditionalFormatting sqref="C19:J49">
    <cfRule type="expression" dxfId="49"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N62"/>
  <sheetViews>
    <sheetView topLeftCell="A16" zoomScaleNormal="100" workbookViewId="0">
      <selection activeCell="I56" sqref="I56:J58"/>
    </sheetView>
  </sheetViews>
  <sheetFormatPr defaultColWidth="11.54296875" defaultRowHeight="13" x14ac:dyDescent="0.3"/>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36328125" style="18" customWidth="1"/>
    <col min="8" max="8" width="9.08984375" style="18" customWidth="1"/>
    <col min="9" max="9" width="10" style="18" customWidth="1"/>
    <col min="10" max="10" width="10.36328125" style="18" customWidth="1"/>
    <col min="11" max="11" width="2.90625" style="33" customWidth="1"/>
    <col min="12" max="12" width="9" style="34" customWidth="1"/>
    <col min="13" max="13" width="16.36328125" style="241" customWidth="1"/>
    <col min="14" max="14" width="18.1796875" style="170" customWidth="1"/>
    <col min="15" max="16384" width="11.54296875" style="18"/>
  </cols>
  <sheetData>
    <row r="1" spans="1:12" ht="15.5" x14ac:dyDescent="0.35">
      <c r="A1" s="15" t="s">
        <v>72</v>
      </c>
      <c r="B1" s="16"/>
      <c r="C1" s="16"/>
      <c r="D1" s="16"/>
      <c r="E1" s="16"/>
      <c r="F1" s="17"/>
      <c r="G1" s="359" t="s">
        <v>9</v>
      </c>
      <c r="H1" s="359"/>
      <c r="I1" s="359"/>
      <c r="J1" s="359"/>
    </row>
    <row r="2" spans="1:12" ht="15.5" x14ac:dyDescent="0.35">
      <c r="A2" s="16"/>
      <c r="B2" s="16"/>
      <c r="C2" s="16"/>
      <c r="D2" s="16"/>
      <c r="E2" s="16"/>
      <c r="F2" s="19"/>
      <c r="G2" s="359"/>
      <c r="H2" s="359"/>
      <c r="I2" s="359"/>
      <c r="J2" s="359"/>
    </row>
    <row r="3" spans="1:12" x14ac:dyDescent="0.3">
      <c r="C3" s="380" t="s">
        <v>11</v>
      </c>
      <c r="D3" s="380"/>
      <c r="G3" s="359"/>
      <c r="H3" s="359"/>
      <c r="I3" s="359"/>
      <c r="J3" s="359"/>
    </row>
    <row r="4" spans="1:12" ht="13.25" customHeight="1" x14ac:dyDescent="0.3">
      <c r="A4" s="361" t="s">
        <v>5</v>
      </c>
      <c r="B4" s="361"/>
      <c r="C4" s="361"/>
      <c r="D4" s="361"/>
      <c r="E4" s="361"/>
      <c r="F4" s="22"/>
      <c r="G4" s="359"/>
      <c r="H4" s="359"/>
      <c r="I4" s="359"/>
      <c r="J4" s="359"/>
    </row>
    <row r="5" spans="1:12" ht="6" customHeight="1" x14ac:dyDescent="0.3">
      <c r="A5" s="361"/>
      <c r="B5" s="361"/>
      <c r="C5" s="361"/>
      <c r="D5" s="361"/>
      <c r="E5" s="361"/>
      <c r="F5" s="22"/>
      <c r="G5" s="359"/>
      <c r="H5" s="359"/>
      <c r="I5" s="359"/>
      <c r="J5" s="359"/>
    </row>
    <row r="6" spans="1:12" ht="13.25" customHeight="1" x14ac:dyDescent="0.3">
      <c r="A6" s="361"/>
      <c r="B6" s="361"/>
      <c r="C6" s="361"/>
      <c r="D6" s="361"/>
      <c r="E6" s="361"/>
      <c r="F6" s="22"/>
      <c r="G6" s="359"/>
      <c r="H6" s="359"/>
      <c r="I6" s="359"/>
      <c r="J6" s="359"/>
    </row>
    <row r="7" spans="1:12" ht="13.25" customHeight="1" x14ac:dyDescent="0.3">
      <c r="A7" s="22"/>
      <c r="B7" s="22"/>
      <c r="C7" s="22"/>
      <c r="D7" s="22"/>
      <c r="E7" s="22"/>
      <c r="F7" s="22"/>
      <c r="G7" s="359"/>
      <c r="H7" s="359"/>
      <c r="I7" s="359"/>
      <c r="J7" s="359"/>
    </row>
    <row r="8" spans="1:12" ht="6" customHeight="1" thickBot="1" x14ac:dyDescent="0.35">
      <c r="A8" s="23"/>
      <c r="B8" s="24"/>
      <c r="C8" s="24"/>
      <c r="D8" s="24"/>
      <c r="E8" s="25"/>
      <c r="F8" s="25"/>
      <c r="G8" s="25"/>
      <c r="H8" s="25"/>
      <c r="I8" s="26"/>
      <c r="J8" s="26"/>
      <c r="K8" s="27"/>
      <c r="L8" s="28"/>
    </row>
    <row r="9" spans="1:12" ht="6" customHeight="1" x14ac:dyDescent="0.3">
      <c r="A9" s="29"/>
      <c r="B9" s="30"/>
      <c r="C9" s="30"/>
      <c r="D9" s="30"/>
      <c r="E9" s="31"/>
      <c r="F9" s="31"/>
      <c r="G9" s="31"/>
      <c r="H9" s="31"/>
      <c r="I9" s="32"/>
      <c r="J9" s="32"/>
    </row>
    <row r="10" spans="1:12" x14ac:dyDescent="0.3">
      <c r="A10" s="29"/>
      <c r="B10" s="30"/>
      <c r="C10" s="30"/>
      <c r="D10" s="30"/>
      <c r="E10" s="31"/>
      <c r="F10" s="31"/>
      <c r="G10" s="31"/>
      <c r="I10" s="32"/>
      <c r="J10" s="32"/>
    </row>
    <row r="11" spans="1:12" x14ac:dyDescent="0.3">
      <c r="A11" s="357" t="s">
        <v>6</v>
      </c>
      <c r="B11" s="357"/>
      <c r="C11" s="35" t="str">
        <f>Mai!C11</f>
        <v>ATHENE, Pallas</v>
      </c>
      <c r="D11" s="36"/>
      <c r="E11" s="37"/>
      <c r="F11" s="38"/>
      <c r="G11" s="38" t="s">
        <v>8</v>
      </c>
      <c r="H11" s="39"/>
      <c r="I11" s="40" t="s">
        <v>23</v>
      </c>
      <c r="J11" s="41">
        <f>Jan!J11</f>
        <v>2024</v>
      </c>
      <c r="K11" s="42"/>
      <c r="L11" s="43"/>
    </row>
    <row r="12" spans="1:12" x14ac:dyDescent="0.3">
      <c r="B12" s="34"/>
      <c r="C12" s="44"/>
      <c r="D12" s="45"/>
      <c r="E12" s="38"/>
      <c r="F12" s="38"/>
      <c r="G12" s="31"/>
      <c r="I12" s="32"/>
      <c r="J12" s="32"/>
    </row>
    <row r="13" spans="1:12" x14ac:dyDescent="0.3">
      <c r="A13" s="357" t="s">
        <v>7</v>
      </c>
      <c r="B13" s="357"/>
      <c r="C13" s="35" t="str">
        <f>Mai!C13</f>
        <v>Geschäftsstelle</v>
      </c>
      <c r="D13" s="50"/>
      <c r="E13" s="37"/>
      <c r="F13" s="51"/>
      <c r="G13" s="51"/>
      <c r="H13" s="39"/>
      <c r="I13" s="36"/>
      <c r="J13" s="37"/>
      <c r="K13" s="42"/>
      <c r="L13" s="43"/>
    </row>
    <row r="14" spans="1:12" ht="13.5" thickBot="1" x14ac:dyDescent="0.35"/>
    <row r="15" spans="1:12" ht="13.25" customHeight="1" x14ac:dyDescent="0.3">
      <c r="A15" s="358"/>
      <c r="B15" s="358" t="s">
        <v>14</v>
      </c>
      <c r="C15" s="358" t="s">
        <v>28</v>
      </c>
      <c r="D15" s="358" t="s">
        <v>29</v>
      </c>
      <c r="E15" s="358" t="s">
        <v>16</v>
      </c>
      <c r="F15" s="365" t="s">
        <v>61</v>
      </c>
      <c r="G15" s="365"/>
      <c r="H15" s="362" t="s">
        <v>62</v>
      </c>
      <c r="I15" s="366" t="s">
        <v>0</v>
      </c>
      <c r="J15" s="367"/>
      <c r="K15" s="325" t="s">
        <v>60</v>
      </c>
      <c r="L15" s="326"/>
    </row>
    <row r="16" spans="1:12" ht="13.5" thickBot="1" x14ac:dyDescent="0.35">
      <c r="A16" s="358"/>
      <c r="B16" s="358"/>
      <c r="C16" s="358"/>
      <c r="D16" s="358"/>
      <c r="E16" s="358"/>
      <c r="F16" s="365"/>
      <c r="G16" s="365"/>
      <c r="H16" s="363"/>
      <c r="I16" s="76" t="s">
        <v>1</v>
      </c>
      <c r="J16" s="54" t="s">
        <v>2</v>
      </c>
      <c r="K16" s="327"/>
      <c r="L16" s="328"/>
    </row>
    <row r="17" spans="1:14" ht="13.5" thickBot="1" x14ac:dyDescent="0.35">
      <c r="A17" s="358"/>
      <c r="B17" s="358"/>
      <c r="C17" s="358"/>
      <c r="D17" s="358"/>
      <c r="E17" s="358"/>
      <c r="F17" s="365"/>
      <c r="G17" s="365"/>
      <c r="H17" s="363"/>
      <c r="I17" s="368">
        <f>IF(Mantelbogen!D26=I11,Mantelbogen!C28,Mai!I53)</f>
        <v>0.43750000000000078</v>
      </c>
      <c r="J17" s="369" t="str">
        <f>IF(Mantelbogen!D26=I11,Mantelbogen!D28,Mai!J53)</f>
        <v/>
      </c>
      <c r="K17" s="329" t="str">
        <f>IF(I17/H58 &gt; 1, I17/H58, " " )</f>
        <v xml:space="preserve"> </v>
      </c>
      <c r="L17" s="330"/>
    </row>
    <row r="18" spans="1:14" ht="13.5" thickBot="1" x14ac:dyDescent="0.35">
      <c r="A18" s="358"/>
      <c r="B18" s="358"/>
      <c r="C18" s="358"/>
      <c r="D18" s="358"/>
      <c r="E18" s="358"/>
      <c r="F18" s="365"/>
      <c r="G18" s="365"/>
      <c r="H18" s="364"/>
      <c r="I18" s="368"/>
      <c r="J18" s="369"/>
      <c r="K18" s="331"/>
      <c r="L18" s="332"/>
    </row>
    <row r="19" spans="1:14" ht="17.399999999999999" customHeight="1" x14ac:dyDescent="0.25">
      <c r="A19" s="55">
        <v>1</v>
      </c>
      <c r="B19" s="56" t="str">
        <f t="shared" ref="B19:B48" si="0">TEXT(CONCATENATE(A19,".",I$11," ", J$11), "TTTT")</f>
        <v>Samstag</v>
      </c>
      <c r="C19" s="4">
        <v>0.35416666666666669</v>
      </c>
      <c r="D19" s="4">
        <v>0.70833333333333337</v>
      </c>
      <c r="E19" s="4">
        <v>2.0833333333333332E-2</v>
      </c>
      <c r="F19" s="346">
        <f t="shared" ref="F19" si="1">IF(OR(ISTEXT(C19),ISBLANK(C19)),"",D19-C19-E19)</f>
        <v>0.33333333333333337</v>
      </c>
      <c r="G19" s="347"/>
      <c r="H19" s="212">
        <f t="shared" ref="H19:H48" si="2">IF(AND(OR(ISTEXT(C19),ISBLANK(C19)),ISERR(SEARCH("ausgleich",C19,1))),"",INDEX(H$51:H$58,WEEKDAY(CONCATENATE(A19,".",I$11," ",J$11),2),1,1))</f>
        <v>0</v>
      </c>
      <c r="I19" s="195" t="str">
        <f>IF(OR(AND(F19&gt;H19,OR(B19&lt;&gt;"Samstag",H$56&gt;0),OR(B19&lt;&gt;"Sonntag",H$57&gt;0),AND(ISNONTEXT(C19),C19&lt;&gt;""))),F19-H19,"")</f>
        <v/>
      </c>
      <c r="J19" s="5" t="str">
        <f t="shared" ref="J19:J48" si="3">IF(NOT(ISERR(SEARCH("ausgleich",C19,1))),H19, IF(AND(F19&lt;H19,B19&lt;&gt;"Samstag",B19&lt;&gt;"Sonntag",ISNONTEXT(C19)),H19-F19,""))</f>
        <v/>
      </c>
      <c r="K19" s="6" t="str">
        <f>IF(AND(B19="Sonntag",SUM(I19:I19)&lt;SUM(J19:J19)),"-","")</f>
        <v/>
      </c>
      <c r="L19" s="7" t="str">
        <f>IF(B19="Sonntag",ABS(SUM(I19:I19)-SUM(J19:J19)),"")</f>
        <v/>
      </c>
      <c r="M19" s="170"/>
    </row>
    <row r="20" spans="1:14" ht="17.399999999999999" customHeight="1" x14ac:dyDescent="0.3">
      <c r="A20" s="55">
        <v>2</v>
      </c>
      <c r="B20" s="56" t="str">
        <f t="shared" si="0"/>
        <v>Sonntag</v>
      </c>
      <c r="C20" s="4">
        <v>0.35416666666666669</v>
      </c>
      <c r="D20" s="4">
        <v>0.70833333333333337</v>
      </c>
      <c r="E20" s="4">
        <v>2.0833333333333332E-2</v>
      </c>
      <c r="F20" s="346">
        <f t="shared" ref="F20:F48" si="4">IF(OR(ISTEXT(C20),ISBLANK(C20)),"",D20-C20-E20)</f>
        <v>0.33333333333333337</v>
      </c>
      <c r="G20" s="347"/>
      <c r="H20" s="212">
        <f t="shared" si="2"/>
        <v>0</v>
      </c>
      <c r="I20" s="195" t="str">
        <f t="shared" ref="I20:I48" si="5">IF(OR(AND(F20&gt;H20,OR(B20&lt;&gt;"Samstag",H$56&gt;0),OR(B20&lt;&gt;"Sonntag",H$57&gt;0),AND(ISNONTEXT(C20),C20&lt;&gt;""))),F20-H20,"")</f>
        <v/>
      </c>
      <c r="J20" s="5" t="str">
        <f t="shared" si="3"/>
        <v/>
      </c>
      <c r="K20" s="8" t="str">
        <f>IF(AND(B20="Sonntag",SUM(I19:I20)&lt;SUM(J19:J20)),"-","")</f>
        <v/>
      </c>
      <c r="L20" s="9">
        <f>IF(B20="Sonntag",ABS(SUM(I19:I20)-SUM(J19:J20)),"")</f>
        <v>0</v>
      </c>
    </row>
    <row r="21" spans="1:14" ht="17.399999999999999" customHeight="1" x14ac:dyDescent="0.3">
      <c r="A21" s="55">
        <v>3</v>
      </c>
      <c r="B21" s="56" t="str">
        <f t="shared" si="0"/>
        <v>Montag</v>
      </c>
      <c r="C21" s="4">
        <v>0.35416666666666669</v>
      </c>
      <c r="D21" s="4">
        <v>0.70833333333333337</v>
      </c>
      <c r="E21" s="4">
        <v>2.0833333333333332E-2</v>
      </c>
      <c r="F21" s="346">
        <f t="shared" si="4"/>
        <v>0.33333333333333337</v>
      </c>
      <c r="G21" s="347"/>
      <c r="H21" s="212">
        <f t="shared" si="2"/>
        <v>0.33333333333333331</v>
      </c>
      <c r="I21" s="195" t="str">
        <f t="shared" si="5"/>
        <v/>
      </c>
      <c r="J21" s="5" t="str">
        <f t="shared" si="3"/>
        <v/>
      </c>
      <c r="K21" s="8" t="str">
        <f>IF(AND(B21="Sonntag",SUM(I19:I21)&lt;SUM(J19:J21)),"-","")</f>
        <v/>
      </c>
      <c r="L21" s="9" t="str">
        <f>IF(B21="Sonntag",ABS(SUM(I19:I21)-SUM(J19:J21)),"")</f>
        <v/>
      </c>
    </row>
    <row r="22" spans="1:14" ht="17.399999999999999" customHeight="1" x14ac:dyDescent="0.3">
      <c r="A22" s="55">
        <v>4</v>
      </c>
      <c r="B22" s="56" t="str">
        <f t="shared" si="0"/>
        <v>Dienstag</v>
      </c>
      <c r="C22" s="4">
        <v>0.35416666666666669</v>
      </c>
      <c r="D22" s="4">
        <v>0.70833333333333337</v>
      </c>
      <c r="E22" s="4">
        <v>2.0833333333333332E-2</v>
      </c>
      <c r="F22" s="346">
        <f t="shared" si="4"/>
        <v>0.33333333333333337</v>
      </c>
      <c r="G22" s="347"/>
      <c r="H22" s="212">
        <f t="shared" si="2"/>
        <v>0.33333333333333331</v>
      </c>
      <c r="I22" s="195" t="str">
        <f t="shared" si="5"/>
        <v/>
      </c>
      <c r="J22" s="5" t="str">
        <f t="shared" si="3"/>
        <v/>
      </c>
      <c r="K22" s="8" t="str">
        <f>IF(AND(B22="Sonntag",SUM(I19:I22)&lt;SUM(J19:J22)),"-","")</f>
        <v/>
      </c>
      <c r="L22" s="9" t="str">
        <f>IF(B22="Sonntag",ABS(SUM(I19:I22)-SUM(J19:J22)),"")</f>
        <v/>
      </c>
    </row>
    <row r="23" spans="1:14" ht="17.399999999999999" customHeight="1" x14ac:dyDescent="0.3">
      <c r="A23" s="55">
        <v>5</v>
      </c>
      <c r="B23" s="56" t="str">
        <f t="shared" si="0"/>
        <v>Mittwoch</v>
      </c>
      <c r="C23" s="4">
        <v>0.35416666666666669</v>
      </c>
      <c r="D23" s="4">
        <v>0.70833333333333337</v>
      </c>
      <c r="E23" s="4">
        <v>2.0833333333333332E-2</v>
      </c>
      <c r="F23" s="346">
        <f t="shared" si="4"/>
        <v>0.33333333333333337</v>
      </c>
      <c r="G23" s="347"/>
      <c r="H23" s="212">
        <f t="shared" si="2"/>
        <v>0.33333333333333331</v>
      </c>
      <c r="I23" s="195" t="str">
        <f t="shared" si="5"/>
        <v/>
      </c>
      <c r="J23" s="5" t="str">
        <f t="shared" si="3"/>
        <v/>
      </c>
      <c r="K23" s="8" t="str">
        <f>IF(AND(B23="Sonntag",SUM(I19:I23)&lt;SUM(J19:J23)),"-","")</f>
        <v/>
      </c>
      <c r="L23" s="9" t="str">
        <f>IF(B23="Sonntag",ABS(SUM(I19:I23)-SUM(J19:J23)),"")</f>
        <v/>
      </c>
    </row>
    <row r="24" spans="1:14" ht="17.399999999999999" customHeight="1" x14ac:dyDescent="0.3">
      <c r="A24" s="55">
        <v>6</v>
      </c>
      <c r="B24" s="56" t="str">
        <f t="shared" si="0"/>
        <v>Donnerstag</v>
      </c>
      <c r="C24" s="298">
        <v>0.35416666666666669</v>
      </c>
      <c r="D24" s="298">
        <v>0.70833333333333337</v>
      </c>
      <c r="E24" s="298">
        <v>2.0833333333333332E-2</v>
      </c>
      <c r="F24" s="346">
        <f t="shared" si="4"/>
        <v>0.33333333333333337</v>
      </c>
      <c r="G24" s="347"/>
      <c r="H24" s="212">
        <f t="shared" si="2"/>
        <v>0.33333333333333331</v>
      </c>
      <c r="I24" s="195" t="str">
        <f t="shared" si="5"/>
        <v/>
      </c>
      <c r="J24" s="5" t="str">
        <f t="shared" si="3"/>
        <v/>
      </c>
      <c r="K24" s="8" t="str">
        <f>IF(AND(B24="Sonntag",SUM(I19:I24)&lt;SUM(J19:J24)),"-","")</f>
        <v/>
      </c>
      <c r="L24" s="9" t="str">
        <f>IF(B24="Sonntag",ABS(SUM(I19:I24)-SUM(J19:J24)),"")</f>
        <v/>
      </c>
    </row>
    <row r="25" spans="1:14" ht="17.399999999999999" customHeight="1" x14ac:dyDescent="0.3">
      <c r="A25" s="55">
        <v>7</v>
      </c>
      <c r="B25" s="56" t="str">
        <f t="shared" si="0"/>
        <v>Freitag</v>
      </c>
      <c r="C25" s="4">
        <v>0.35416666666666669</v>
      </c>
      <c r="D25" s="4">
        <v>0.70833333333333337</v>
      </c>
      <c r="E25" s="4">
        <v>2.0833333333333332E-2</v>
      </c>
      <c r="F25" s="346">
        <f t="shared" si="4"/>
        <v>0.33333333333333337</v>
      </c>
      <c r="G25" s="347"/>
      <c r="H25" s="212">
        <f t="shared" si="2"/>
        <v>0.3125</v>
      </c>
      <c r="I25" s="195">
        <f t="shared" si="5"/>
        <v>2.083333333333337E-2</v>
      </c>
      <c r="J25" s="5" t="str">
        <f t="shared" si="3"/>
        <v/>
      </c>
      <c r="K25" s="8" t="str">
        <f>IF(AND(B25="Sonntag",SUM(I19:I25)&lt;SUM(J19:J25)),"-","")</f>
        <v/>
      </c>
      <c r="L25" s="9" t="str">
        <f>IF(B25="Sonntag",ABS(SUM(I19:I25)-SUM(J19:J25)),"")</f>
        <v/>
      </c>
    </row>
    <row r="26" spans="1:14" ht="17.399999999999999" customHeight="1" x14ac:dyDescent="0.3">
      <c r="A26" s="55">
        <v>8</v>
      </c>
      <c r="B26" s="56" t="str">
        <f t="shared" si="0"/>
        <v>Samstag</v>
      </c>
      <c r="C26" s="4"/>
      <c r="D26" s="4"/>
      <c r="E26" s="4"/>
      <c r="F26" s="346" t="str">
        <f t="shared" si="4"/>
        <v/>
      </c>
      <c r="G26" s="347"/>
      <c r="H26" s="212" t="str">
        <f t="shared" si="2"/>
        <v/>
      </c>
      <c r="I26" s="195" t="str">
        <f t="shared" si="5"/>
        <v/>
      </c>
      <c r="J26" s="5" t="str">
        <f t="shared" si="3"/>
        <v/>
      </c>
      <c r="K26" s="8" t="str">
        <f>IF(AND(B26="Sonntag",SUM(I20:I26)&lt;SUM(J20:J26)),"-","")</f>
        <v/>
      </c>
      <c r="L26" s="9" t="str">
        <f>IF(B26="Sonntag",ABS(SUM(I20:I26)-SUM(J20:J26)),"")</f>
        <v/>
      </c>
      <c r="N26" s="299" t="s">
        <v>107</v>
      </c>
    </row>
    <row r="27" spans="1:14" ht="17.399999999999999" customHeight="1" x14ac:dyDescent="0.3">
      <c r="A27" s="55">
        <v>9</v>
      </c>
      <c r="B27" s="56" t="str">
        <f t="shared" si="0"/>
        <v>Sonntag</v>
      </c>
      <c r="C27" s="4">
        <v>0.35416666666666669</v>
      </c>
      <c r="D27" s="4">
        <v>0.70833333333333337</v>
      </c>
      <c r="E27" s="4">
        <v>2.0833333333333332E-2</v>
      </c>
      <c r="F27" s="346">
        <f t="shared" si="4"/>
        <v>0.33333333333333337</v>
      </c>
      <c r="G27" s="347"/>
      <c r="H27" s="212">
        <f t="shared" si="2"/>
        <v>0</v>
      </c>
      <c r="I27" s="195" t="str">
        <f t="shared" si="5"/>
        <v/>
      </c>
      <c r="J27" s="5" t="str">
        <f t="shared" si="3"/>
        <v/>
      </c>
      <c r="K27" s="8" t="str">
        <f>IF(AND(B27="Sonntag",SUM(I21:I27)&lt;SUM(J21:J27)),"-","")</f>
        <v/>
      </c>
      <c r="L27" s="9">
        <f>IF(B27="Sonntag",ABS(SUM(I21:I27)-SUM(J21:J27)),"")</f>
        <v>2.083333333333337E-2</v>
      </c>
    </row>
    <row r="28" spans="1:14" ht="17.399999999999999" customHeight="1" x14ac:dyDescent="0.3">
      <c r="A28" s="55">
        <v>10</v>
      </c>
      <c r="B28" s="56" t="str">
        <f t="shared" si="0"/>
        <v>Montag</v>
      </c>
      <c r="C28" s="4">
        <v>0.35416666666666669</v>
      </c>
      <c r="D28" s="4">
        <v>0.70833333333333337</v>
      </c>
      <c r="E28" s="4">
        <v>2.0833333333333332E-2</v>
      </c>
      <c r="F28" s="346">
        <f t="shared" si="4"/>
        <v>0.33333333333333337</v>
      </c>
      <c r="G28" s="347"/>
      <c r="H28" s="212">
        <f t="shared" si="2"/>
        <v>0.33333333333333331</v>
      </c>
      <c r="I28" s="195" t="str">
        <f t="shared" si="5"/>
        <v/>
      </c>
      <c r="J28" s="5" t="str">
        <f t="shared" si="3"/>
        <v/>
      </c>
      <c r="K28" s="8" t="str">
        <f t="shared" ref="K28:K47" si="6">IF(AND(B28="Sonntag",SUM(I22:I28)&lt;SUM(J22:J28)),"-","")</f>
        <v/>
      </c>
      <c r="L28" s="9" t="str">
        <f t="shared" ref="L28:L47" si="7">IF(B28="Sonntag",ABS(SUM(I22:I28)-SUM(J22:J28)),"")</f>
        <v/>
      </c>
    </row>
    <row r="29" spans="1:14" ht="17.399999999999999" customHeight="1" x14ac:dyDescent="0.3">
      <c r="A29" s="55">
        <v>11</v>
      </c>
      <c r="B29" s="56" t="str">
        <f t="shared" si="0"/>
        <v>Dienstag</v>
      </c>
      <c r="C29" s="4">
        <v>0.35416666666666669</v>
      </c>
      <c r="D29" s="4">
        <v>0.70833333333333337</v>
      </c>
      <c r="E29" s="4">
        <v>2.0833333333333332E-2</v>
      </c>
      <c r="F29" s="346">
        <f t="shared" si="4"/>
        <v>0.33333333333333337</v>
      </c>
      <c r="G29" s="347"/>
      <c r="H29" s="212">
        <f t="shared" si="2"/>
        <v>0.33333333333333331</v>
      </c>
      <c r="I29" s="195" t="str">
        <f t="shared" si="5"/>
        <v/>
      </c>
      <c r="J29" s="5" t="str">
        <f t="shared" si="3"/>
        <v/>
      </c>
      <c r="K29" s="8" t="str">
        <f t="shared" si="6"/>
        <v/>
      </c>
      <c r="L29" s="9" t="str">
        <f t="shared" si="7"/>
        <v/>
      </c>
    </row>
    <row r="30" spans="1:14" ht="17.399999999999999" customHeight="1" x14ac:dyDescent="0.3">
      <c r="A30" s="55">
        <v>12</v>
      </c>
      <c r="B30" s="56" t="str">
        <f t="shared" si="0"/>
        <v>Mittwoch</v>
      </c>
      <c r="C30" s="4">
        <v>0.35416666666666669</v>
      </c>
      <c r="D30" s="4">
        <v>0.70833333333333337</v>
      </c>
      <c r="E30" s="4">
        <v>2.0833333333333332E-2</v>
      </c>
      <c r="F30" s="346">
        <f t="shared" si="4"/>
        <v>0.33333333333333337</v>
      </c>
      <c r="G30" s="347"/>
      <c r="H30" s="212">
        <f t="shared" si="2"/>
        <v>0.33333333333333331</v>
      </c>
      <c r="I30" s="195" t="str">
        <f t="shared" si="5"/>
        <v/>
      </c>
      <c r="J30" s="5" t="str">
        <f t="shared" si="3"/>
        <v/>
      </c>
      <c r="K30" s="8" t="str">
        <f t="shared" si="6"/>
        <v/>
      </c>
      <c r="L30" s="9" t="str">
        <f t="shared" si="7"/>
        <v/>
      </c>
    </row>
    <row r="31" spans="1:14" ht="17.399999999999999" customHeight="1" x14ac:dyDescent="0.3">
      <c r="A31" s="55">
        <v>13</v>
      </c>
      <c r="B31" s="56" t="str">
        <f t="shared" si="0"/>
        <v>Donnerstag</v>
      </c>
      <c r="C31" s="4">
        <v>0.35416666666666669</v>
      </c>
      <c r="D31" s="4">
        <v>0.70833333333333337</v>
      </c>
      <c r="E31" s="4">
        <v>2.0833333333333332E-2</v>
      </c>
      <c r="F31" s="346">
        <f t="shared" si="4"/>
        <v>0.33333333333333337</v>
      </c>
      <c r="G31" s="347"/>
      <c r="H31" s="212">
        <f t="shared" si="2"/>
        <v>0.33333333333333331</v>
      </c>
      <c r="I31" s="195" t="str">
        <f t="shared" si="5"/>
        <v/>
      </c>
      <c r="J31" s="5" t="str">
        <f t="shared" si="3"/>
        <v/>
      </c>
      <c r="K31" s="8" t="str">
        <f t="shared" si="6"/>
        <v/>
      </c>
      <c r="L31" s="9" t="str">
        <f t="shared" si="7"/>
        <v/>
      </c>
    </row>
    <row r="32" spans="1:14" ht="17.399999999999999" customHeight="1" x14ac:dyDescent="0.3">
      <c r="A32" s="55">
        <v>14</v>
      </c>
      <c r="B32" s="56" t="str">
        <f t="shared" si="0"/>
        <v>Freitag</v>
      </c>
      <c r="C32" s="4">
        <v>0.35416666666666669</v>
      </c>
      <c r="D32" s="4">
        <v>0.70833333333333337</v>
      </c>
      <c r="E32" s="4">
        <v>2.0833333333333332E-2</v>
      </c>
      <c r="F32" s="346">
        <f t="shared" si="4"/>
        <v>0.33333333333333337</v>
      </c>
      <c r="G32" s="347"/>
      <c r="H32" s="212">
        <f t="shared" si="2"/>
        <v>0.3125</v>
      </c>
      <c r="I32" s="195">
        <f t="shared" si="5"/>
        <v>2.083333333333337E-2</v>
      </c>
      <c r="J32" s="5" t="str">
        <f t="shared" si="3"/>
        <v/>
      </c>
      <c r="K32" s="8" t="str">
        <f t="shared" si="6"/>
        <v/>
      </c>
      <c r="L32" s="9" t="str">
        <f t="shared" si="7"/>
        <v/>
      </c>
    </row>
    <row r="33" spans="1:12" ht="17.399999999999999" customHeight="1" x14ac:dyDescent="0.3">
      <c r="A33" s="55">
        <v>15</v>
      </c>
      <c r="B33" s="56" t="str">
        <f t="shared" si="0"/>
        <v>Samstag</v>
      </c>
      <c r="C33" s="4">
        <v>0.35416666666666669</v>
      </c>
      <c r="D33" s="4">
        <v>0.70833333333333337</v>
      </c>
      <c r="E33" s="4">
        <v>2.0833333333333332E-2</v>
      </c>
      <c r="F33" s="346">
        <f t="shared" si="4"/>
        <v>0.33333333333333337</v>
      </c>
      <c r="G33" s="347"/>
      <c r="H33" s="269">
        <f t="shared" si="2"/>
        <v>0</v>
      </c>
      <c r="I33" s="195" t="str">
        <f t="shared" si="5"/>
        <v/>
      </c>
      <c r="J33" s="5" t="str">
        <f t="shared" si="3"/>
        <v/>
      </c>
      <c r="K33" s="8" t="str">
        <f t="shared" si="6"/>
        <v/>
      </c>
      <c r="L33" s="9" t="str">
        <f t="shared" si="7"/>
        <v/>
      </c>
    </row>
    <row r="34" spans="1:12" ht="17.399999999999999" customHeight="1" x14ac:dyDescent="0.3">
      <c r="A34" s="55">
        <v>16</v>
      </c>
      <c r="B34" s="56" t="str">
        <f t="shared" si="0"/>
        <v>Sonntag</v>
      </c>
      <c r="C34" s="298">
        <v>0.35416666666666669</v>
      </c>
      <c r="D34" s="298">
        <v>0.70833333333333337</v>
      </c>
      <c r="E34" s="298">
        <v>2.0833333333333332E-2</v>
      </c>
      <c r="F34" s="346">
        <f t="shared" si="4"/>
        <v>0.33333333333333337</v>
      </c>
      <c r="G34" s="347"/>
      <c r="H34" s="212">
        <f t="shared" si="2"/>
        <v>0</v>
      </c>
      <c r="I34" s="195" t="str">
        <f t="shared" si="5"/>
        <v/>
      </c>
      <c r="J34" s="5" t="str">
        <f t="shared" si="3"/>
        <v/>
      </c>
      <c r="K34" s="8" t="str">
        <f t="shared" si="6"/>
        <v/>
      </c>
      <c r="L34" s="9">
        <f t="shared" si="7"/>
        <v>2.083333333333337E-2</v>
      </c>
    </row>
    <row r="35" spans="1:12" ht="17.399999999999999" customHeight="1" x14ac:dyDescent="0.3">
      <c r="A35" s="55">
        <v>17</v>
      </c>
      <c r="B35" s="56" t="str">
        <f t="shared" si="0"/>
        <v>Montag</v>
      </c>
      <c r="C35" s="4">
        <v>0.35416666666666669</v>
      </c>
      <c r="D35" s="4">
        <v>0.70833333333333337</v>
      </c>
      <c r="E35" s="4">
        <v>2.0833333333333332E-2</v>
      </c>
      <c r="F35" s="346">
        <f t="shared" si="4"/>
        <v>0.33333333333333337</v>
      </c>
      <c r="G35" s="347"/>
      <c r="H35" s="212">
        <f t="shared" si="2"/>
        <v>0.33333333333333331</v>
      </c>
      <c r="I35" s="195" t="str">
        <f t="shared" si="5"/>
        <v/>
      </c>
      <c r="J35" s="5" t="str">
        <f t="shared" si="3"/>
        <v/>
      </c>
      <c r="K35" s="8" t="str">
        <f t="shared" si="6"/>
        <v/>
      </c>
      <c r="L35" s="9" t="str">
        <f t="shared" si="7"/>
        <v/>
      </c>
    </row>
    <row r="36" spans="1:12" ht="17.399999999999999" customHeight="1" x14ac:dyDescent="0.3">
      <c r="A36" s="55">
        <v>18</v>
      </c>
      <c r="B36" s="56" t="str">
        <f t="shared" si="0"/>
        <v>Dienstag</v>
      </c>
      <c r="C36" s="4">
        <v>0.35416666666666669</v>
      </c>
      <c r="D36" s="4">
        <v>0.70833333333333337</v>
      </c>
      <c r="E36" s="4">
        <v>2.0833333333333332E-2</v>
      </c>
      <c r="F36" s="346">
        <f t="shared" si="4"/>
        <v>0.33333333333333337</v>
      </c>
      <c r="G36" s="347"/>
      <c r="H36" s="212">
        <f t="shared" si="2"/>
        <v>0.33333333333333331</v>
      </c>
      <c r="I36" s="195" t="str">
        <f t="shared" si="5"/>
        <v/>
      </c>
      <c r="J36" s="5" t="str">
        <f t="shared" si="3"/>
        <v/>
      </c>
      <c r="K36" s="8" t="str">
        <f t="shared" si="6"/>
        <v/>
      </c>
      <c r="L36" s="9" t="str">
        <f t="shared" si="7"/>
        <v/>
      </c>
    </row>
    <row r="37" spans="1:12" ht="17.399999999999999" customHeight="1" x14ac:dyDescent="0.3">
      <c r="A37" s="55">
        <v>19</v>
      </c>
      <c r="B37" s="56" t="str">
        <f t="shared" si="0"/>
        <v>Mittwoch</v>
      </c>
      <c r="C37" s="4">
        <v>0.35416666666666669</v>
      </c>
      <c r="D37" s="4">
        <v>0.70833333333333337</v>
      </c>
      <c r="E37" s="4">
        <v>2.0833333333333332E-2</v>
      </c>
      <c r="F37" s="346">
        <f t="shared" si="4"/>
        <v>0.33333333333333337</v>
      </c>
      <c r="G37" s="347"/>
      <c r="H37" s="212">
        <f t="shared" si="2"/>
        <v>0.33333333333333331</v>
      </c>
      <c r="I37" s="195" t="str">
        <f t="shared" si="5"/>
        <v/>
      </c>
      <c r="J37" s="5" t="str">
        <f t="shared" si="3"/>
        <v/>
      </c>
      <c r="K37" s="8" t="str">
        <f t="shared" si="6"/>
        <v/>
      </c>
      <c r="L37" s="9" t="str">
        <f t="shared" si="7"/>
        <v/>
      </c>
    </row>
    <row r="38" spans="1:12" ht="17.399999999999999" customHeight="1" x14ac:dyDescent="0.3">
      <c r="A38" s="55">
        <v>20</v>
      </c>
      <c r="B38" s="56" t="str">
        <f t="shared" si="0"/>
        <v>Donnerstag</v>
      </c>
      <c r="C38" s="4">
        <v>0.35416666666666669</v>
      </c>
      <c r="D38" s="4">
        <v>0.70833333333333337</v>
      </c>
      <c r="E38" s="4">
        <v>2.0833333333333332E-2</v>
      </c>
      <c r="F38" s="346">
        <f t="shared" si="4"/>
        <v>0.33333333333333337</v>
      </c>
      <c r="G38" s="347"/>
      <c r="H38" s="212">
        <f t="shared" si="2"/>
        <v>0.33333333333333331</v>
      </c>
      <c r="I38" s="195" t="str">
        <f t="shared" si="5"/>
        <v/>
      </c>
      <c r="J38" s="5" t="str">
        <f t="shared" si="3"/>
        <v/>
      </c>
      <c r="K38" s="8" t="str">
        <f t="shared" si="6"/>
        <v/>
      </c>
      <c r="L38" s="9" t="str">
        <f t="shared" si="7"/>
        <v/>
      </c>
    </row>
    <row r="39" spans="1:12" ht="17.399999999999999" customHeight="1" x14ac:dyDescent="0.3">
      <c r="A39" s="55">
        <v>21</v>
      </c>
      <c r="B39" s="56" t="str">
        <f t="shared" si="0"/>
        <v>Freitag</v>
      </c>
      <c r="C39" s="4">
        <v>0.35416666666666669</v>
      </c>
      <c r="D39" s="4">
        <v>0.70833333333333337</v>
      </c>
      <c r="E39" s="4">
        <v>2.0833333333333332E-2</v>
      </c>
      <c r="F39" s="346">
        <f t="shared" si="4"/>
        <v>0.33333333333333337</v>
      </c>
      <c r="G39" s="347"/>
      <c r="H39" s="212">
        <f t="shared" si="2"/>
        <v>0.3125</v>
      </c>
      <c r="I39" s="195">
        <f t="shared" si="5"/>
        <v>2.083333333333337E-2</v>
      </c>
      <c r="J39" s="5" t="str">
        <f t="shared" si="3"/>
        <v/>
      </c>
      <c r="K39" s="8" t="str">
        <f t="shared" si="6"/>
        <v/>
      </c>
      <c r="L39" s="9" t="str">
        <f t="shared" si="7"/>
        <v/>
      </c>
    </row>
    <row r="40" spans="1:12" ht="17.399999999999999" customHeight="1" x14ac:dyDescent="0.3">
      <c r="A40" s="55">
        <v>22</v>
      </c>
      <c r="B40" s="56" t="str">
        <f t="shared" si="0"/>
        <v>Samstag</v>
      </c>
      <c r="C40" s="4">
        <v>0.35416666666666669</v>
      </c>
      <c r="D40" s="4">
        <v>0.70833333333333337</v>
      </c>
      <c r="E40" s="4">
        <v>2.0833333333333332E-2</v>
      </c>
      <c r="F40" s="346">
        <f t="shared" si="4"/>
        <v>0.33333333333333337</v>
      </c>
      <c r="G40" s="347"/>
      <c r="H40" s="212">
        <f t="shared" si="2"/>
        <v>0</v>
      </c>
      <c r="I40" s="195" t="str">
        <f t="shared" si="5"/>
        <v/>
      </c>
      <c r="J40" s="5" t="str">
        <f t="shared" si="3"/>
        <v/>
      </c>
      <c r="K40" s="8" t="str">
        <f t="shared" si="6"/>
        <v/>
      </c>
      <c r="L40" s="9" t="str">
        <f t="shared" si="7"/>
        <v/>
      </c>
    </row>
    <row r="41" spans="1:12" ht="17.399999999999999" customHeight="1" x14ac:dyDescent="0.3">
      <c r="A41" s="55">
        <v>23</v>
      </c>
      <c r="B41" s="56" t="str">
        <f t="shared" si="0"/>
        <v>Sonntag</v>
      </c>
      <c r="C41" s="4">
        <v>0.35416666666666669</v>
      </c>
      <c r="D41" s="4">
        <v>0.70833333333333337</v>
      </c>
      <c r="E41" s="4">
        <v>2.0833333333333332E-2</v>
      </c>
      <c r="F41" s="346">
        <f t="shared" si="4"/>
        <v>0.33333333333333337</v>
      </c>
      <c r="G41" s="347"/>
      <c r="H41" s="212">
        <f t="shared" si="2"/>
        <v>0</v>
      </c>
      <c r="I41" s="195" t="str">
        <f t="shared" si="5"/>
        <v/>
      </c>
      <c r="J41" s="5" t="str">
        <f t="shared" si="3"/>
        <v/>
      </c>
      <c r="K41" s="8" t="str">
        <f t="shared" si="6"/>
        <v/>
      </c>
      <c r="L41" s="9">
        <f t="shared" si="7"/>
        <v>2.083333333333337E-2</v>
      </c>
    </row>
    <row r="42" spans="1:12" ht="17.399999999999999" customHeight="1" x14ac:dyDescent="0.3">
      <c r="A42" s="55">
        <v>24</v>
      </c>
      <c r="B42" s="56" t="str">
        <f t="shared" si="0"/>
        <v>Montag</v>
      </c>
      <c r="C42" s="4">
        <v>0.35416666666666669</v>
      </c>
      <c r="D42" s="4">
        <v>0.70833333333333337</v>
      </c>
      <c r="E42" s="4">
        <v>2.0833333333333332E-2</v>
      </c>
      <c r="F42" s="346">
        <f t="shared" si="4"/>
        <v>0.33333333333333337</v>
      </c>
      <c r="G42" s="347"/>
      <c r="H42" s="212">
        <f t="shared" si="2"/>
        <v>0.33333333333333331</v>
      </c>
      <c r="I42" s="195" t="str">
        <f t="shared" si="5"/>
        <v/>
      </c>
      <c r="J42" s="5" t="str">
        <f t="shared" si="3"/>
        <v/>
      </c>
      <c r="K42" s="8" t="str">
        <f t="shared" si="6"/>
        <v/>
      </c>
      <c r="L42" s="9" t="str">
        <f t="shared" si="7"/>
        <v/>
      </c>
    </row>
    <row r="43" spans="1:12" ht="17.399999999999999" customHeight="1" x14ac:dyDescent="0.3">
      <c r="A43" s="55">
        <v>25</v>
      </c>
      <c r="B43" s="56" t="str">
        <f t="shared" si="0"/>
        <v>Dienstag</v>
      </c>
      <c r="C43" s="4">
        <v>0.35416666666666669</v>
      </c>
      <c r="D43" s="4">
        <v>0.70833333333333337</v>
      </c>
      <c r="E43" s="4">
        <v>2.0833333333333332E-2</v>
      </c>
      <c r="F43" s="346">
        <f t="shared" si="4"/>
        <v>0.33333333333333337</v>
      </c>
      <c r="G43" s="347"/>
      <c r="H43" s="212">
        <f t="shared" si="2"/>
        <v>0.33333333333333331</v>
      </c>
      <c r="I43" s="195" t="str">
        <f t="shared" si="5"/>
        <v/>
      </c>
      <c r="J43" s="5" t="str">
        <f t="shared" si="3"/>
        <v/>
      </c>
      <c r="K43" s="8" t="str">
        <f t="shared" si="6"/>
        <v/>
      </c>
      <c r="L43" s="9" t="str">
        <f t="shared" si="7"/>
        <v/>
      </c>
    </row>
    <row r="44" spans="1:12" ht="17.399999999999999" customHeight="1" x14ac:dyDescent="0.3">
      <c r="A44" s="55">
        <v>26</v>
      </c>
      <c r="B44" s="56" t="str">
        <f t="shared" si="0"/>
        <v>Mittwoch</v>
      </c>
      <c r="C44" s="4">
        <v>0.35416666666666669</v>
      </c>
      <c r="D44" s="4">
        <v>0.70833333333333337</v>
      </c>
      <c r="E44" s="4">
        <v>2.0833333333333332E-2</v>
      </c>
      <c r="F44" s="346">
        <f t="shared" si="4"/>
        <v>0.33333333333333337</v>
      </c>
      <c r="G44" s="347"/>
      <c r="H44" s="212">
        <f t="shared" si="2"/>
        <v>0.33333333333333331</v>
      </c>
      <c r="I44" s="195" t="str">
        <f t="shared" si="5"/>
        <v/>
      </c>
      <c r="J44" s="5" t="str">
        <f t="shared" si="3"/>
        <v/>
      </c>
      <c r="K44" s="8" t="str">
        <f t="shared" si="6"/>
        <v/>
      </c>
      <c r="L44" s="9" t="str">
        <f t="shared" si="7"/>
        <v/>
      </c>
    </row>
    <row r="45" spans="1:12" ht="17.399999999999999" customHeight="1" x14ac:dyDescent="0.3">
      <c r="A45" s="55">
        <v>27</v>
      </c>
      <c r="B45" s="56" t="str">
        <f t="shared" si="0"/>
        <v>Donnerstag</v>
      </c>
      <c r="C45" s="4">
        <v>0.35416666666666669</v>
      </c>
      <c r="D45" s="4">
        <v>0.70833333333333337</v>
      </c>
      <c r="E45" s="4">
        <v>2.0833333333333332E-2</v>
      </c>
      <c r="F45" s="346">
        <f t="shared" si="4"/>
        <v>0.33333333333333337</v>
      </c>
      <c r="G45" s="347"/>
      <c r="H45" s="212">
        <f t="shared" si="2"/>
        <v>0.33333333333333331</v>
      </c>
      <c r="I45" s="195" t="str">
        <f t="shared" si="5"/>
        <v/>
      </c>
      <c r="J45" s="5" t="str">
        <f t="shared" si="3"/>
        <v/>
      </c>
      <c r="K45" s="8" t="str">
        <f t="shared" si="6"/>
        <v/>
      </c>
      <c r="L45" s="9" t="str">
        <f t="shared" si="7"/>
        <v/>
      </c>
    </row>
    <row r="46" spans="1:12" ht="17.399999999999999" customHeight="1" x14ac:dyDescent="0.3">
      <c r="A46" s="55">
        <v>28</v>
      </c>
      <c r="B46" s="56" t="str">
        <f t="shared" si="0"/>
        <v>Freitag</v>
      </c>
      <c r="C46" s="4">
        <v>0.35416666666666669</v>
      </c>
      <c r="D46" s="4">
        <v>0.70833333333333337</v>
      </c>
      <c r="E46" s="4">
        <v>2.0833333333333332E-2</v>
      </c>
      <c r="F46" s="346">
        <f t="shared" si="4"/>
        <v>0.33333333333333337</v>
      </c>
      <c r="G46" s="347"/>
      <c r="H46" s="212">
        <f t="shared" si="2"/>
        <v>0.3125</v>
      </c>
      <c r="I46" s="195">
        <f t="shared" si="5"/>
        <v>2.083333333333337E-2</v>
      </c>
      <c r="J46" s="5" t="str">
        <f t="shared" si="3"/>
        <v/>
      </c>
      <c r="K46" s="8" t="str">
        <f t="shared" si="6"/>
        <v/>
      </c>
      <c r="L46" s="9" t="str">
        <f t="shared" si="7"/>
        <v/>
      </c>
    </row>
    <row r="47" spans="1:12" ht="17.399999999999999" customHeight="1" x14ac:dyDescent="0.3">
      <c r="A47" s="55">
        <v>29</v>
      </c>
      <c r="B47" s="56" t="str">
        <f t="shared" si="0"/>
        <v>Samstag</v>
      </c>
      <c r="C47" s="4">
        <v>0.35416666666666669</v>
      </c>
      <c r="D47" s="4">
        <v>0.70833333333333337</v>
      </c>
      <c r="E47" s="4">
        <v>2.0833333333333332E-2</v>
      </c>
      <c r="F47" s="346">
        <f t="shared" si="4"/>
        <v>0.33333333333333337</v>
      </c>
      <c r="G47" s="347"/>
      <c r="H47" s="212">
        <f t="shared" si="2"/>
        <v>0</v>
      </c>
      <c r="I47" s="195" t="str">
        <f t="shared" si="5"/>
        <v/>
      </c>
      <c r="J47" s="5" t="str">
        <f t="shared" si="3"/>
        <v/>
      </c>
      <c r="K47" s="8" t="str">
        <f t="shared" si="6"/>
        <v/>
      </c>
      <c r="L47" s="9" t="str">
        <f t="shared" si="7"/>
        <v/>
      </c>
    </row>
    <row r="48" spans="1:12" ht="17.399999999999999" customHeight="1" x14ac:dyDescent="0.3">
      <c r="A48" s="55">
        <v>30</v>
      </c>
      <c r="B48" s="56" t="str">
        <f t="shared" si="0"/>
        <v>Sonntag</v>
      </c>
      <c r="C48" s="4">
        <v>0.35416666666666669</v>
      </c>
      <c r="D48" s="4">
        <v>0.70833333333333337</v>
      </c>
      <c r="E48" s="4">
        <v>2.0833333333333332E-2</v>
      </c>
      <c r="F48" s="346">
        <f t="shared" si="4"/>
        <v>0.33333333333333337</v>
      </c>
      <c r="G48" s="347"/>
      <c r="H48" s="212">
        <f t="shared" si="2"/>
        <v>0</v>
      </c>
      <c r="I48" s="195" t="str">
        <f t="shared" si="5"/>
        <v/>
      </c>
      <c r="J48" s="5" t="str">
        <f t="shared" si="3"/>
        <v/>
      </c>
      <c r="K48" s="10" t="str">
        <f ca="1">IF(SUM(INDIRECT("I"&amp;ROW()-WEEKDAY(CONCATENATE(A48,".",I$11," ",J$11),3)):I49) &lt; SUM(INDIRECT("j"&amp;ROW()-WEEKDAY(CONCATENATE(A48,".",I$11," ",J$11),3)):J49),"-","")</f>
        <v/>
      </c>
      <c r="L48" s="11">
        <f ca="1">ABS(SUM(INDIRECT("I"&amp;ROW()-WEEKDAY(CONCATENATE(A48,".",I$11," ",J$11),3)):I49)-SUM(INDIRECT("j"&amp;ROW()-WEEKDAY(CONCATENATE(A48,".",I$11," ",J$11),3)):J49))</f>
        <v>2.083333333333337E-2</v>
      </c>
    </row>
    <row r="49" spans="1:14" ht="17.399999999999999" customHeight="1" x14ac:dyDescent="0.3">
      <c r="A49" s="55"/>
      <c r="B49" s="55"/>
      <c r="C49" s="148"/>
      <c r="D49" s="148"/>
      <c r="E49" s="5"/>
      <c r="F49" s="388"/>
      <c r="G49" s="388"/>
      <c r="H49" s="167"/>
      <c r="I49" s="92"/>
      <c r="J49" s="80"/>
      <c r="K49" s="13"/>
      <c r="L49" s="14"/>
    </row>
    <row r="50" spans="1:14" s="68" customFormat="1" ht="17.399999999999999" customHeight="1" thickBot="1" x14ac:dyDescent="0.3">
      <c r="A50" s="59" t="str">
        <f>Jan!A50</f>
        <v>Sonstige Zeiten laut beigefügter Aufstellung (s. Anlage):</v>
      </c>
      <c r="B50" s="60"/>
      <c r="C50" s="61"/>
      <c r="D50" s="62"/>
      <c r="E50" s="62"/>
      <c r="F50" s="62"/>
      <c r="G50" s="62"/>
      <c r="H50" s="63"/>
      <c r="I50" s="219">
        <v>0</v>
      </c>
      <c r="J50" s="220">
        <v>0</v>
      </c>
      <c r="K50" s="66"/>
      <c r="L50" s="67"/>
      <c r="M50" s="289"/>
      <c r="N50" s="288"/>
    </row>
    <row r="51" spans="1:14" x14ac:dyDescent="0.3">
      <c r="A51" s="338" t="s">
        <v>3</v>
      </c>
      <c r="B51" s="338"/>
      <c r="C51" s="338"/>
      <c r="D51" s="338"/>
      <c r="H51" s="69">
        <f>Mai!H51</f>
        <v>0.33333333333333331</v>
      </c>
      <c r="I51" s="351">
        <f>SUM(I17:I50)</f>
        <v>0.52083333333333426</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Mai!H52</f>
        <v>0.33333333333333331</v>
      </c>
      <c r="I52" s="352"/>
      <c r="J52" s="352"/>
      <c r="K52" s="334"/>
      <c r="L52" s="336"/>
    </row>
    <row r="53" spans="1:14" x14ac:dyDescent="0.3">
      <c r="A53" s="339"/>
      <c r="B53" s="339"/>
      <c r="C53" s="339"/>
      <c r="D53" s="339"/>
      <c r="G53" s="71"/>
      <c r="H53" s="69">
        <f>Mai!H53</f>
        <v>0.33333333333333331</v>
      </c>
      <c r="I53" s="344">
        <f>IF(I51&gt;J51,I51-J51,0)</f>
        <v>0.52083333333333426</v>
      </c>
      <c r="J53" s="342" t="str">
        <f>IF(J51&gt;I51,J51-I51,"")</f>
        <v/>
      </c>
      <c r="K53" s="228"/>
      <c r="L53" s="229"/>
    </row>
    <row r="54" spans="1:14" ht="13.5" thickBot="1" x14ac:dyDescent="0.35">
      <c r="A54" s="341" t="s">
        <v>15</v>
      </c>
      <c r="B54" s="341"/>
      <c r="C54" s="341"/>
      <c r="D54" s="341"/>
      <c r="E54" s="72"/>
      <c r="F54" s="72"/>
      <c r="G54" s="70" t="s">
        <v>13</v>
      </c>
      <c r="H54" s="69">
        <f>Mai!H54</f>
        <v>0.33333333333333331</v>
      </c>
      <c r="I54" s="345"/>
      <c r="J54" s="343"/>
      <c r="K54" s="228"/>
      <c r="L54" s="229"/>
    </row>
    <row r="55" spans="1:14" x14ac:dyDescent="0.3">
      <c r="A55" s="338" t="s">
        <v>4</v>
      </c>
      <c r="B55" s="338"/>
      <c r="C55" s="338"/>
      <c r="D55" s="338"/>
      <c r="E55" s="72"/>
      <c r="F55" s="72"/>
      <c r="G55" s="72"/>
      <c r="H55" s="69">
        <f>Mai!H55</f>
        <v>0.3125</v>
      </c>
      <c r="I55" s="72"/>
      <c r="J55" s="72"/>
      <c r="K55" s="228"/>
      <c r="L55" s="229"/>
    </row>
    <row r="56" spans="1:14" ht="13.25" customHeight="1" x14ac:dyDescent="0.3">
      <c r="A56" s="339"/>
      <c r="B56" s="339"/>
      <c r="C56" s="339"/>
      <c r="D56" s="339"/>
      <c r="E56" s="245" t="str">
        <f>Jan!E56</f>
        <v xml:space="preserve"> </v>
      </c>
      <c r="F56" s="223"/>
      <c r="G56" s="74" t="str">
        <f>IF(E56=" ", " ", IF(Mantelbogen!D26=I11,Mantelbogen!C29,Mai!G58))</f>
        <v xml:space="preserve"> </v>
      </c>
      <c r="H56" s="187">
        <v>0</v>
      </c>
      <c r="I56" s="340" t="s">
        <v>129</v>
      </c>
      <c r="J56" s="340"/>
      <c r="K56" s="228"/>
      <c r="L56" s="229"/>
    </row>
    <row r="57" spans="1:14" ht="13.5" thickBot="1" x14ac:dyDescent="0.35">
      <c r="A57" s="339"/>
      <c r="B57" s="339"/>
      <c r="C57" s="339"/>
      <c r="D57" s="339"/>
      <c r="E57" s="245" t="str">
        <f>Jan!E57</f>
        <v xml:space="preserve"> </v>
      </c>
      <c r="F57" s="74"/>
      <c r="G57" s="74" t="str">
        <f>IF(E56=" ", " ", -COUNTIF(C19:C49, "Urlaub*" ))</f>
        <v xml:space="preserve"> </v>
      </c>
      <c r="H57" s="187">
        <v>0</v>
      </c>
      <c r="I57" s="340"/>
      <c r="J57" s="340"/>
      <c r="K57" s="228"/>
      <c r="L57" s="229"/>
    </row>
    <row r="58" spans="1:14" ht="24.5" customHeight="1" thickBot="1" x14ac:dyDescent="0.35">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3">
      <c r="G60" s="337"/>
      <c r="H60" s="337"/>
      <c r="I60" s="337"/>
      <c r="J60" s="74"/>
    </row>
    <row r="61" spans="1:14" x14ac:dyDescent="0.3">
      <c r="G61" s="74"/>
      <c r="H61" s="74"/>
      <c r="I61" s="74"/>
      <c r="J61" s="74"/>
    </row>
    <row r="62" spans="1:14" x14ac:dyDescent="0.3">
      <c r="G62" s="74"/>
      <c r="H62" s="74"/>
    </row>
  </sheetData>
  <sheetProtection password="9BC9" sheet="1" objects="1" scenarios="1"/>
  <mergeCells count="62">
    <mergeCell ref="K15:L16"/>
    <mergeCell ref="H15:H18"/>
    <mergeCell ref="K51:K52"/>
    <mergeCell ref="L51:L52"/>
    <mergeCell ref="K17:L18"/>
    <mergeCell ref="J51:J52"/>
    <mergeCell ref="I15:J15"/>
    <mergeCell ref="I17:I18"/>
    <mergeCell ref="J17:J18"/>
    <mergeCell ref="I51:I52"/>
    <mergeCell ref="A54:D54"/>
    <mergeCell ref="G60:I60"/>
    <mergeCell ref="A55:D55"/>
    <mergeCell ref="A56:D57"/>
    <mergeCell ref="I56:J58"/>
    <mergeCell ref="A58:D58"/>
    <mergeCell ref="J53:J54"/>
    <mergeCell ref="I53:I54"/>
    <mergeCell ref="A52:D53"/>
    <mergeCell ref="F46:G46"/>
    <mergeCell ref="F47:G47"/>
    <mergeCell ref="F48:G48"/>
    <mergeCell ref="F49:G49"/>
    <mergeCell ref="A51:D51"/>
    <mergeCell ref="F45:G45"/>
    <mergeCell ref="F34:G34"/>
    <mergeCell ref="F35:G35"/>
    <mergeCell ref="F36:G36"/>
    <mergeCell ref="F37:G37"/>
    <mergeCell ref="F38:G38"/>
    <mergeCell ref="F39:G39"/>
    <mergeCell ref="F40:G40"/>
    <mergeCell ref="F41:G41"/>
    <mergeCell ref="F42:G42"/>
    <mergeCell ref="F43:G43"/>
    <mergeCell ref="F44:G44"/>
    <mergeCell ref="F33:G33"/>
    <mergeCell ref="F22:G22"/>
    <mergeCell ref="F23:G23"/>
    <mergeCell ref="F24:G24"/>
    <mergeCell ref="F25:G25"/>
    <mergeCell ref="F26:G26"/>
    <mergeCell ref="F27:G27"/>
    <mergeCell ref="F28:G28"/>
    <mergeCell ref="F29:G29"/>
    <mergeCell ref="F30:G30"/>
    <mergeCell ref="F31:G31"/>
    <mergeCell ref="F32:G32"/>
    <mergeCell ref="F20:G20"/>
    <mergeCell ref="F21:G21"/>
    <mergeCell ref="A15:A18"/>
    <mergeCell ref="B15:B18"/>
    <mergeCell ref="C15:C18"/>
    <mergeCell ref="D15:D18"/>
    <mergeCell ref="E15:E18"/>
    <mergeCell ref="F15:G18"/>
    <mergeCell ref="F19:G19"/>
    <mergeCell ref="G1:J7"/>
    <mergeCell ref="C3:D3"/>
    <mergeCell ref="A4:E6"/>
    <mergeCell ref="A11:B11"/>
    <mergeCell ref="A13:B13"/>
  </mergeCells>
  <phoneticPr fontId="0" type="noConversion"/>
  <conditionalFormatting sqref="C19:C49">
    <cfRule type="expression" dxfId="48" priority="2">
      <formula>ISTEXT($C19)</formula>
    </cfRule>
  </conditionalFormatting>
  <conditionalFormatting sqref="A19:L49">
    <cfRule type="expression" dxfId="47" priority="1">
      <formula>OR($B19="Samstag", $B19="Sonntag", NOT( ISERROR(FIND("feiertag",LOWER($C19)) ) ),  NOT( ISERROR(FIND("pfingst",LOWER($C19)) ) ) )</formula>
    </cfRule>
  </conditionalFormatting>
  <conditionalFormatting sqref="F19:F49">
    <cfRule type="expression" dxfId="46" priority="11">
      <formula>AND(ISNONTEXT($C19),$F19 &gt; 0.666667)</formula>
    </cfRule>
  </conditionalFormatting>
  <conditionalFormatting sqref="E19:E49">
    <cfRule type="expression" dxfId="45" priority="10">
      <formula>AND(ISNONTEXT($C19), OR(AND($F19 &gt; 0.250001, $E19 &lt; 0.020833332), AND($F19 &gt; 0.375, $E19 &lt; 0.03124999)  ) )</formula>
    </cfRule>
  </conditionalFormatting>
  <conditionalFormatting sqref="C19:I49">
    <cfRule type="expression" dxfId="44" priority="4">
      <formula>AND($B19="Samstag", $H$56&gt;0.00001)</formula>
    </cfRule>
    <cfRule type="expression" dxfId="43" priority="5">
      <formula>AND($B19="Sonntag", $H$57&gt;0.00001)</formula>
    </cfRule>
  </conditionalFormatting>
  <conditionalFormatting sqref="C19:J49">
    <cfRule type="expression" dxfId="42"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N62"/>
  <sheetViews>
    <sheetView topLeftCell="A34" zoomScaleNormal="100" workbookViewId="0">
      <selection activeCell="I56" sqref="I56:J58"/>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453125" style="18" customWidth="1"/>
    <col min="6" max="6" width="7.08984375" style="18" customWidth="1"/>
    <col min="7" max="7" width="3.453125" style="18" customWidth="1"/>
    <col min="8" max="8" width="9.08984375" style="18" customWidth="1"/>
    <col min="9" max="9" width="10.1796875" style="18" customWidth="1"/>
    <col min="10" max="10" width="10.453125" style="18" customWidth="1"/>
    <col min="11" max="11" width="2.90625" style="93" customWidth="1"/>
    <col min="12" max="12" width="8.90625" style="18" customWidth="1"/>
    <col min="13" max="13" width="16.36328125" style="170" customWidth="1"/>
    <col min="14" max="14" width="18.1796875" style="170" customWidth="1"/>
    <col min="15" max="16384" width="11.54296875" style="18"/>
  </cols>
  <sheetData>
    <row r="1" spans="1:12" ht="15.5" x14ac:dyDescent="0.35">
      <c r="A1" s="15" t="s">
        <v>72</v>
      </c>
      <c r="B1" s="15"/>
      <c r="C1" s="15"/>
      <c r="D1" s="15"/>
      <c r="E1" s="15"/>
      <c r="F1" s="17"/>
      <c r="G1" s="359" t="s">
        <v>9</v>
      </c>
      <c r="H1" s="359"/>
      <c r="I1" s="359"/>
      <c r="J1" s="359"/>
    </row>
    <row r="2" spans="1:12" ht="15.5" x14ac:dyDescent="0.35">
      <c r="A2" s="15"/>
      <c r="B2" s="15"/>
      <c r="C2" s="15"/>
      <c r="D2" s="15"/>
      <c r="E2" s="15"/>
      <c r="F2" s="19"/>
      <c r="G2" s="359"/>
      <c r="H2" s="359"/>
      <c r="I2" s="359"/>
      <c r="J2" s="359"/>
    </row>
    <row r="3" spans="1:12" x14ac:dyDescent="0.25">
      <c r="C3" s="380" t="s">
        <v>11</v>
      </c>
      <c r="D3" s="380"/>
      <c r="G3" s="359"/>
      <c r="H3" s="359"/>
      <c r="I3" s="359"/>
      <c r="J3" s="359"/>
    </row>
    <row r="4" spans="1:12" ht="13.25" customHeight="1" x14ac:dyDescent="0.25">
      <c r="A4" s="361" t="s">
        <v>5</v>
      </c>
      <c r="B4" s="361"/>
      <c r="C4" s="361"/>
      <c r="D4" s="361"/>
      <c r="E4" s="361"/>
      <c r="F4" s="22"/>
      <c r="G4" s="359"/>
      <c r="H4" s="359"/>
      <c r="I4" s="359"/>
      <c r="J4" s="359"/>
    </row>
    <row r="5" spans="1:12" ht="6" customHeight="1" x14ac:dyDescent="0.25">
      <c r="A5" s="361"/>
      <c r="B5" s="361"/>
      <c r="C5" s="361"/>
      <c r="D5" s="361"/>
      <c r="E5" s="361"/>
      <c r="F5" s="22"/>
      <c r="G5" s="359"/>
      <c r="H5" s="359"/>
      <c r="I5" s="359"/>
      <c r="J5" s="359"/>
    </row>
    <row r="6" spans="1:12" ht="13.25" customHeight="1" x14ac:dyDescent="0.25">
      <c r="A6" s="361"/>
      <c r="B6" s="361"/>
      <c r="C6" s="361"/>
      <c r="D6" s="361"/>
      <c r="E6" s="361"/>
      <c r="F6" s="22"/>
      <c r="G6" s="359"/>
      <c r="H6" s="359"/>
      <c r="I6" s="359"/>
      <c r="J6" s="359"/>
    </row>
    <row r="7" spans="1:12" ht="13.25" customHeight="1" x14ac:dyDescent="0.25">
      <c r="A7" s="22"/>
      <c r="B7" s="22"/>
      <c r="C7" s="22"/>
      <c r="D7" s="22"/>
      <c r="E7" s="22"/>
      <c r="F7" s="22"/>
      <c r="G7" s="359"/>
      <c r="H7" s="359"/>
      <c r="I7" s="359"/>
      <c r="J7" s="359"/>
    </row>
    <row r="8" spans="1:12" ht="6" customHeight="1" thickBot="1" x14ac:dyDescent="0.3">
      <c r="A8" s="23"/>
      <c r="B8" s="24"/>
      <c r="C8" s="24"/>
      <c r="D8" s="24"/>
      <c r="E8" s="25"/>
      <c r="F8" s="25"/>
      <c r="G8" s="25"/>
      <c r="H8" s="25"/>
      <c r="I8" s="26"/>
      <c r="J8" s="26"/>
      <c r="K8" s="27"/>
      <c r="L8" s="28"/>
    </row>
    <row r="9" spans="1:12" ht="6" customHeight="1" x14ac:dyDescent="0.25">
      <c r="A9" s="29"/>
      <c r="B9" s="30"/>
      <c r="C9" s="30"/>
      <c r="D9" s="30"/>
      <c r="E9" s="31"/>
      <c r="F9" s="31"/>
      <c r="G9" s="31"/>
      <c r="H9" s="31"/>
      <c r="I9" s="32"/>
      <c r="J9" s="32"/>
      <c r="K9" s="33"/>
      <c r="L9" s="34"/>
    </row>
    <row r="10" spans="1:12" x14ac:dyDescent="0.25">
      <c r="A10" s="29"/>
      <c r="B10" s="30"/>
      <c r="C10" s="30"/>
      <c r="D10" s="30"/>
      <c r="E10" s="31"/>
      <c r="F10" s="31"/>
      <c r="G10" s="31"/>
      <c r="I10" s="32"/>
      <c r="J10" s="32"/>
      <c r="K10" s="33"/>
      <c r="L10" s="34"/>
    </row>
    <row r="11" spans="1:12" x14ac:dyDescent="0.25">
      <c r="A11" s="357" t="s">
        <v>6</v>
      </c>
      <c r="B11" s="357"/>
      <c r="C11" s="35" t="str">
        <f>Jun!C11</f>
        <v>ATHENE, Pallas</v>
      </c>
      <c r="D11" s="36"/>
      <c r="E11" s="37"/>
      <c r="F11" s="38"/>
      <c r="G11" s="38" t="s">
        <v>8</v>
      </c>
      <c r="H11" s="39"/>
      <c r="I11" s="40" t="s">
        <v>30</v>
      </c>
      <c r="J11" s="41">
        <f>Jan!J11</f>
        <v>2024</v>
      </c>
      <c r="K11" s="42"/>
      <c r="L11" s="43"/>
    </row>
    <row r="12" spans="1:12" x14ac:dyDescent="0.25">
      <c r="B12" s="34"/>
      <c r="C12" s="44"/>
      <c r="D12" s="45"/>
      <c r="E12" s="38"/>
      <c r="F12" s="38"/>
      <c r="G12" s="31"/>
      <c r="I12" s="32"/>
      <c r="J12" s="32"/>
      <c r="K12" s="33"/>
      <c r="L12" s="34"/>
    </row>
    <row r="13" spans="1:12" x14ac:dyDescent="0.25">
      <c r="A13" s="357" t="s">
        <v>7</v>
      </c>
      <c r="B13" s="357"/>
      <c r="C13" s="35" t="str">
        <f>Jun!C13</f>
        <v>Geschäftsstelle</v>
      </c>
      <c r="D13" s="50"/>
      <c r="E13" s="37"/>
      <c r="F13" s="51"/>
      <c r="G13" s="51"/>
      <c r="H13" s="39"/>
      <c r="I13" s="36"/>
      <c r="J13" s="37"/>
      <c r="K13" s="42"/>
      <c r="L13" s="43"/>
    </row>
    <row r="14" spans="1:12" ht="13" thickBot="1" x14ac:dyDescent="0.3">
      <c r="K14" s="33"/>
      <c r="L14" s="34"/>
    </row>
    <row r="15" spans="1:12"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2" ht="13" thickBot="1" x14ac:dyDescent="0.3">
      <c r="A16" s="358"/>
      <c r="B16" s="358"/>
      <c r="C16" s="358"/>
      <c r="D16" s="358"/>
      <c r="E16" s="358"/>
      <c r="F16" s="365"/>
      <c r="G16" s="365"/>
      <c r="H16" s="363"/>
      <c r="I16" s="54" t="s">
        <v>1</v>
      </c>
      <c r="J16" s="54" t="s">
        <v>2</v>
      </c>
      <c r="K16" s="327"/>
      <c r="L16" s="328"/>
    </row>
    <row r="17" spans="1:13" ht="13" thickBot="1" x14ac:dyDescent="0.3">
      <c r="A17" s="358"/>
      <c r="B17" s="358"/>
      <c r="C17" s="358"/>
      <c r="D17" s="358"/>
      <c r="E17" s="358"/>
      <c r="F17" s="365"/>
      <c r="G17" s="365"/>
      <c r="H17" s="363"/>
      <c r="I17" s="368">
        <f>IF(Mantelbogen!D26=I11,Mantelbogen!C28,Jun!I53)</f>
        <v>0.52083333333333426</v>
      </c>
      <c r="J17" s="369" t="str">
        <f>IF(Mantelbogen!D26=I11,Mantelbogen!D28,Jun!J53)</f>
        <v/>
      </c>
      <c r="K17" s="329" t="str">
        <f>IF(I17/H58 &gt; 1, I17/H58, " " )</f>
        <v xml:space="preserve"> </v>
      </c>
      <c r="L17" s="330"/>
    </row>
    <row r="18" spans="1:13" ht="13" thickBot="1" x14ac:dyDescent="0.3">
      <c r="A18" s="358"/>
      <c r="B18" s="358"/>
      <c r="C18" s="358"/>
      <c r="D18" s="358"/>
      <c r="E18" s="358"/>
      <c r="F18" s="365"/>
      <c r="G18" s="365"/>
      <c r="H18" s="364"/>
      <c r="I18" s="368"/>
      <c r="J18" s="369"/>
      <c r="K18" s="331"/>
      <c r="L18" s="332"/>
    </row>
    <row r="19" spans="1:13" ht="17.399999999999999" customHeight="1" x14ac:dyDescent="0.25">
      <c r="A19" s="55">
        <v>1</v>
      </c>
      <c r="B19" s="56" t="str">
        <f t="shared" ref="B19:B48" si="0">TEXT(CONCATENATE(A19,".",I$11," ", J$11), "TTTT")</f>
        <v>Montag</v>
      </c>
      <c r="C19" s="4">
        <v>0.35416666666666669</v>
      </c>
      <c r="D19" s="4">
        <v>0.70833333333333337</v>
      </c>
      <c r="E19" s="4">
        <v>2.0833333333333332E-2</v>
      </c>
      <c r="F19" s="346">
        <f t="shared" ref="F19:F29" si="1">IF(OR(ISTEXT(C19),ISBLANK(C19)),"",D19-C19-E19)</f>
        <v>0.33333333333333337</v>
      </c>
      <c r="G19" s="347"/>
      <c r="H19" s="212">
        <f t="shared" ref="H19:H29" si="2">IF(AND(OR(ISTEXT(C19),ISBLANK(C19)),ISERR(SEARCH("ausgleich",C19,1))),"",INDEX(H$51:H$58,WEEKDAY(CONCATENATE(A19,".",I$11," ",J$11),2),1,1))</f>
        <v>0.33333333333333331</v>
      </c>
      <c r="I19" s="195" t="str">
        <f t="shared" ref="I19:I48" si="3">IF(OR(AND(F19&gt;H19,OR(B19&lt;&gt;"Samstag",H$56&gt;0),OR(B19&lt;&gt;"Sonntag",H$57&gt;0),AND(ISNONTEXT(C19),C19&lt;&gt;""))),F19-H19,"")</f>
        <v/>
      </c>
      <c r="J19" s="5" t="str">
        <f t="shared" ref="J19:J49" si="4">IF(NOT(ISERR(SEARCH("ausgleich",C19,1))),H19, IF(AND(F19&lt;H19,B19&lt;&gt;"Samstag",B19&lt;&gt;"Sonntag",ISNONTEXT(C19)),H19-F19,""))</f>
        <v/>
      </c>
      <c r="K19" s="6" t="str">
        <f>IF(AND(B19="Sonntag",SUM(I19:I19)&lt;SUM(J19:J19)),"-","")</f>
        <v/>
      </c>
      <c r="L19" s="7" t="str">
        <f>IF(B19="Sonntag",ABS(SUM(I19:I19)-SUM(J19:J19)),"")</f>
        <v/>
      </c>
    </row>
    <row r="20" spans="1:13" ht="17.399999999999999" customHeight="1" x14ac:dyDescent="0.25">
      <c r="A20" s="55">
        <v>2</v>
      </c>
      <c r="B20" s="56" t="str">
        <f t="shared" si="0"/>
        <v>Dienstag</v>
      </c>
      <c r="C20" s="4">
        <v>0.35416666666666669</v>
      </c>
      <c r="D20" s="4">
        <v>0.70833333333333337</v>
      </c>
      <c r="E20" s="4">
        <v>2.0833333333333332E-2</v>
      </c>
      <c r="F20" s="346">
        <f t="shared" si="1"/>
        <v>0.33333333333333337</v>
      </c>
      <c r="G20" s="347"/>
      <c r="H20" s="212">
        <f t="shared" si="2"/>
        <v>0.33333333333333331</v>
      </c>
      <c r="I20" s="195" t="str">
        <f t="shared" si="3"/>
        <v/>
      </c>
      <c r="J20" s="5" t="str">
        <f t="shared" si="4"/>
        <v/>
      </c>
      <c r="K20" s="8" t="str">
        <f>IF(AND(B20="Sonntag",SUM(I19:I20)&lt;SUM(J19:J20)),"-","")</f>
        <v/>
      </c>
      <c r="L20" s="9" t="str">
        <f>IF(B20="Sonntag",ABS(SUM(I19:I20)-SUM(J19:J20)),"")</f>
        <v/>
      </c>
    </row>
    <row r="21" spans="1:13" ht="17.399999999999999" customHeight="1" x14ac:dyDescent="0.25">
      <c r="A21" s="55">
        <v>3</v>
      </c>
      <c r="B21" s="56" t="str">
        <f t="shared" si="0"/>
        <v>Mittwoch</v>
      </c>
      <c r="C21" s="4">
        <v>0.35416666666666669</v>
      </c>
      <c r="D21" s="4">
        <v>0.70833333333333337</v>
      </c>
      <c r="E21" s="4">
        <v>2.0833333333333332E-2</v>
      </c>
      <c r="F21" s="346">
        <f t="shared" si="1"/>
        <v>0.33333333333333337</v>
      </c>
      <c r="G21" s="347"/>
      <c r="H21" s="212">
        <f t="shared" si="2"/>
        <v>0.33333333333333331</v>
      </c>
      <c r="I21" s="195" t="str">
        <f t="shared" si="3"/>
        <v/>
      </c>
      <c r="J21" s="5" t="str">
        <f t="shared" si="4"/>
        <v/>
      </c>
      <c r="K21" s="8" t="str">
        <f>IF(AND(B21="Sonntag",SUM(I19:I21)&lt;SUM(J19:J21)),"-","")</f>
        <v/>
      </c>
      <c r="L21" s="9" t="str">
        <f>IF(B21="Sonntag",ABS(SUM(I19:I21)-SUM(J19:J21)),"")</f>
        <v/>
      </c>
    </row>
    <row r="22" spans="1:13" ht="17.399999999999999" customHeight="1" x14ac:dyDescent="0.25">
      <c r="A22" s="55">
        <v>4</v>
      </c>
      <c r="B22" s="56" t="str">
        <f t="shared" si="0"/>
        <v>Donnerstag</v>
      </c>
      <c r="C22" s="4">
        <v>0.35416666666666669</v>
      </c>
      <c r="D22" s="4">
        <v>0.70833333333333337</v>
      </c>
      <c r="E22" s="4">
        <v>2.0833333333333332E-2</v>
      </c>
      <c r="F22" s="346">
        <f t="shared" si="1"/>
        <v>0.33333333333333337</v>
      </c>
      <c r="G22" s="347"/>
      <c r="H22" s="212">
        <f t="shared" si="2"/>
        <v>0.33333333333333331</v>
      </c>
      <c r="I22" s="195" t="str">
        <f t="shared" si="3"/>
        <v/>
      </c>
      <c r="J22" s="5" t="str">
        <f t="shared" si="4"/>
        <v/>
      </c>
      <c r="K22" s="8" t="str">
        <f>IF(AND(B22="Sonntag",SUM(I19:I22)&lt;SUM(J19:J22)),"-","")</f>
        <v/>
      </c>
      <c r="L22" s="9" t="str">
        <f>IF(B22="Sonntag",ABS(SUM(I19:I22)-SUM(J19:J22)),"")</f>
        <v/>
      </c>
    </row>
    <row r="23" spans="1:13" ht="17.399999999999999" customHeight="1" x14ac:dyDescent="0.25">
      <c r="A23" s="55">
        <v>5</v>
      </c>
      <c r="B23" s="56" t="str">
        <f t="shared" si="0"/>
        <v>Freitag</v>
      </c>
      <c r="C23" s="4">
        <v>0.35416666666666669</v>
      </c>
      <c r="D23" s="4">
        <v>0.70833333333333337</v>
      </c>
      <c r="E23" s="4">
        <v>2.0833333333333332E-2</v>
      </c>
      <c r="F23" s="346">
        <f t="shared" si="1"/>
        <v>0.33333333333333337</v>
      </c>
      <c r="G23" s="347"/>
      <c r="H23" s="212">
        <f t="shared" si="2"/>
        <v>0.3125</v>
      </c>
      <c r="I23" s="195">
        <f t="shared" si="3"/>
        <v>2.083333333333337E-2</v>
      </c>
      <c r="J23" s="5" t="str">
        <f t="shared" si="4"/>
        <v/>
      </c>
      <c r="K23" s="8" t="str">
        <f>IF(AND(B23="Sonntag",SUM(I19:I23)&lt;SUM(J19:J23)),"-","")</f>
        <v/>
      </c>
      <c r="L23" s="9" t="str">
        <f>IF(B23="Sonntag",ABS(SUM(I19:I23)-SUM(J19:J23)),"")</f>
        <v/>
      </c>
      <c r="M23" s="173"/>
    </row>
    <row r="24" spans="1:13" ht="17.399999999999999" customHeight="1" x14ac:dyDescent="0.25">
      <c r="A24" s="55">
        <v>6</v>
      </c>
      <c r="B24" s="56" t="str">
        <f t="shared" si="0"/>
        <v>Samstag</v>
      </c>
      <c r="C24" s="4">
        <v>0.35416666666666669</v>
      </c>
      <c r="D24" s="4">
        <v>0.70833333333333337</v>
      </c>
      <c r="E24" s="4">
        <v>2.0833333333333332E-2</v>
      </c>
      <c r="F24" s="346">
        <f t="shared" si="1"/>
        <v>0.33333333333333337</v>
      </c>
      <c r="G24" s="347"/>
      <c r="H24" s="212">
        <f t="shared" si="2"/>
        <v>0</v>
      </c>
      <c r="I24" s="195" t="str">
        <f t="shared" si="3"/>
        <v/>
      </c>
      <c r="J24" s="5" t="str">
        <f t="shared" si="4"/>
        <v/>
      </c>
      <c r="K24" s="8" t="str">
        <f>IF(AND(B24="Sonntag",SUM(I19:I24)&lt;SUM(J19:J24)),"-","")</f>
        <v/>
      </c>
      <c r="L24" s="9" t="str">
        <f>IF(B24="Sonntag",ABS(SUM(I19:I24)-SUM(J19:J24)),"")</f>
        <v/>
      </c>
    </row>
    <row r="25" spans="1:13" ht="17.399999999999999" customHeight="1" x14ac:dyDescent="0.25">
      <c r="A25" s="55">
        <v>7</v>
      </c>
      <c r="B25" s="56" t="str">
        <f t="shared" si="0"/>
        <v>Sonntag</v>
      </c>
      <c r="C25" s="4">
        <v>0.35416666666666669</v>
      </c>
      <c r="D25" s="4">
        <v>0.70833333333333337</v>
      </c>
      <c r="E25" s="4">
        <v>2.0833333333333332E-2</v>
      </c>
      <c r="F25" s="346">
        <f t="shared" si="1"/>
        <v>0.33333333333333337</v>
      </c>
      <c r="G25" s="347"/>
      <c r="H25" s="212">
        <f t="shared" si="2"/>
        <v>0</v>
      </c>
      <c r="I25" s="195" t="str">
        <f t="shared" si="3"/>
        <v/>
      </c>
      <c r="J25" s="5" t="str">
        <f t="shared" si="4"/>
        <v/>
      </c>
      <c r="K25" s="8" t="str">
        <f>IF(AND(B25="Sonntag",SUM(I19:I25)&lt;SUM(J19:J25)),"-","")</f>
        <v/>
      </c>
      <c r="L25" s="9">
        <f>IF(B25="Sonntag",ABS(SUM(I19:I25)-SUM(J19:J25)),"")</f>
        <v>2.083333333333337E-2</v>
      </c>
    </row>
    <row r="26" spans="1:13" ht="17.399999999999999" customHeight="1" x14ac:dyDescent="0.25">
      <c r="A26" s="55">
        <v>8</v>
      </c>
      <c r="B26" s="56" t="str">
        <f t="shared" si="0"/>
        <v>Montag</v>
      </c>
      <c r="C26" s="4">
        <v>0.35416666666666669</v>
      </c>
      <c r="D26" s="4">
        <v>0.70833333333333337</v>
      </c>
      <c r="E26" s="4">
        <v>2.0833333333333332E-2</v>
      </c>
      <c r="F26" s="346">
        <f t="shared" si="1"/>
        <v>0.33333333333333337</v>
      </c>
      <c r="G26" s="347"/>
      <c r="H26" s="212">
        <f t="shared" si="2"/>
        <v>0.33333333333333331</v>
      </c>
      <c r="I26" s="195" t="str">
        <f t="shared" si="3"/>
        <v/>
      </c>
      <c r="J26" s="5" t="str">
        <f t="shared" si="4"/>
        <v/>
      </c>
      <c r="K26" s="8" t="str">
        <f>IF(AND(B26="Sonntag",SUM(I20:I26)&lt;SUM(J20:J26)),"-","")</f>
        <v/>
      </c>
      <c r="L26" s="9" t="str">
        <f>IF(B26="Sonntag",ABS(SUM(I20:I26)-SUM(J20:J26)),"")</f>
        <v/>
      </c>
    </row>
    <row r="27" spans="1:13" ht="17.399999999999999" customHeight="1" x14ac:dyDescent="0.25">
      <c r="A27" s="55">
        <v>9</v>
      </c>
      <c r="B27" s="56" t="str">
        <f t="shared" si="0"/>
        <v>Dienstag</v>
      </c>
      <c r="C27" s="4">
        <v>0.35416666666666669</v>
      </c>
      <c r="D27" s="4">
        <v>0.70833333333333337</v>
      </c>
      <c r="E27" s="4">
        <v>2.0833333333333332E-2</v>
      </c>
      <c r="F27" s="346">
        <f t="shared" si="1"/>
        <v>0.33333333333333337</v>
      </c>
      <c r="G27" s="347"/>
      <c r="H27" s="212">
        <f t="shared" si="2"/>
        <v>0.33333333333333331</v>
      </c>
      <c r="I27" s="195" t="str">
        <f t="shared" si="3"/>
        <v/>
      </c>
      <c r="J27" s="5" t="str">
        <f t="shared" si="4"/>
        <v/>
      </c>
      <c r="K27" s="8" t="str">
        <f>IF(AND(B27="Sonntag",SUM(I21:I27)&lt;SUM(J21:J27)),"-","")</f>
        <v/>
      </c>
      <c r="L27" s="9" t="str">
        <f>IF(B27="Sonntag",ABS(SUM(I21:I27)-SUM(J21:J27)),"")</f>
        <v/>
      </c>
    </row>
    <row r="28" spans="1:13" ht="17.399999999999999" customHeight="1" x14ac:dyDescent="0.25">
      <c r="A28" s="55">
        <v>10</v>
      </c>
      <c r="B28" s="56" t="str">
        <f t="shared" si="0"/>
        <v>Mittwoch</v>
      </c>
      <c r="C28" s="4">
        <v>0.35416666666666669</v>
      </c>
      <c r="D28" s="4">
        <v>0.70833333333333337</v>
      </c>
      <c r="E28" s="4">
        <v>2.0833333333333332E-2</v>
      </c>
      <c r="F28" s="346">
        <f t="shared" si="1"/>
        <v>0.33333333333333337</v>
      </c>
      <c r="G28" s="347"/>
      <c r="H28" s="212">
        <f t="shared" si="2"/>
        <v>0.33333333333333331</v>
      </c>
      <c r="I28" s="195" t="str">
        <f t="shared" si="3"/>
        <v/>
      </c>
      <c r="J28" s="5" t="str">
        <f t="shared" si="4"/>
        <v/>
      </c>
      <c r="K28" s="8" t="str">
        <f t="shared" ref="K28:K46" si="5">IF(AND(B28="Sonntag",SUM(I22:I28)&lt;SUM(J22:J28)),"-","")</f>
        <v/>
      </c>
      <c r="L28" s="9" t="str">
        <f t="shared" ref="L28:L46" si="6">IF(B28="Sonntag",ABS(SUM(I22:I28)-SUM(J22:J28)),"")</f>
        <v/>
      </c>
    </row>
    <row r="29" spans="1:13" ht="17.399999999999999" customHeight="1" x14ac:dyDescent="0.25">
      <c r="A29" s="55">
        <v>11</v>
      </c>
      <c r="B29" s="56" t="str">
        <f t="shared" si="0"/>
        <v>Donnerstag</v>
      </c>
      <c r="C29" s="4">
        <v>0.35416666666666669</v>
      </c>
      <c r="D29" s="4">
        <v>0.70833333333333337</v>
      </c>
      <c r="E29" s="4">
        <v>2.0833333333333332E-2</v>
      </c>
      <c r="F29" s="346">
        <f t="shared" si="1"/>
        <v>0.33333333333333337</v>
      </c>
      <c r="G29" s="347"/>
      <c r="H29" s="212">
        <f t="shared" si="2"/>
        <v>0.33333333333333331</v>
      </c>
      <c r="I29" s="195" t="str">
        <f t="shared" si="3"/>
        <v/>
      </c>
      <c r="J29" s="5" t="str">
        <f t="shared" si="4"/>
        <v/>
      </c>
      <c r="K29" s="8" t="str">
        <f t="shared" si="5"/>
        <v/>
      </c>
      <c r="L29" s="9" t="str">
        <f t="shared" si="6"/>
        <v/>
      </c>
    </row>
    <row r="30" spans="1:13" ht="17.399999999999999" customHeight="1" x14ac:dyDescent="0.25">
      <c r="A30" s="55">
        <v>12</v>
      </c>
      <c r="B30" s="56" t="str">
        <f t="shared" si="0"/>
        <v>Freitag</v>
      </c>
      <c r="C30" s="4">
        <v>0.35416666666666669</v>
      </c>
      <c r="D30" s="4">
        <v>0.70833333333333337</v>
      </c>
      <c r="E30" s="4">
        <v>2.0833333333333332E-2</v>
      </c>
      <c r="F30" s="346">
        <f>IF(OR(ISTEXT(C30),ISBLANK(C30)),"",D30-C30-E30)</f>
        <v>0.33333333333333337</v>
      </c>
      <c r="G30" s="347"/>
      <c r="H30" s="149">
        <f>IF(AND(OR(ISTEXT(C30),ISBLANK(C30)),ISERR(SEARCH("ausgleich",C30,1))),"",INDEX(H$51:H$58,WEEKDAY(CONCATENATE(A30,".",I$11," ",J$11),2),1,1))</f>
        <v>0.3125</v>
      </c>
      <c r="I30" s="195">
        <f t="shared" si="3"/>
        <v>2.083333333333337E-2</v>
      </c>
      <c r="J30" s="5" t="str">
        <f t="shared" si="4"/>
        <v/>
      </c>
      <c r="K30" s="8" t="str">
        <f t="shared" si="5"/>
        <v/>
      </c>
      <c r="L30" s="9" t="str">
        <f t="shared" si="6"/>
        <v/>
      </c>
    </row>
    <row r="31" spans="1:13" ht="17.399999999999999" customHeight="1" x14ac:dyDescent="0.25">
      <c r="A31" s="55">
        <v>13</v>
      </c>
      <c r="B31" s="56" t="str">
        <f t="shared" si="0"/>
        <v>Samstag</v>
      </c>
      <c r="C31" s="4">
        <v>0.35416666666666669</v>
      </c>
      <c r="D31" s="4">
        <v>0.70833333333333337</v>
      </c>
      <c r="E31" s="4">
        <v>2.0833333333333332E-2</v>
      </c>
      <c r="F31" s="346">
        <f t="shared" ref="F31:F35" si="7">IF(OR(ISTEXT(C31),ISBLANK(C31)),"",D31-C31-E31)</f>
        <v>0.33333333333333337</v>
      </c>
      <c r="G31" s="347"/>
      <c r="H31" s="212">
        <f t="shared" ref="H31:H49" si="8">IF(AND(OR(ISTEXT(C31),ISBLANK(C31)),ISERR(SEARCH("ausgleich",C31,1))),"",INDEX(H$51:H$58,WEEKDAY(CONCATENATE(A31,".",I$11," ",J$11),2),1,1))</f>
        <v>0</v>
      </c>
      <c r="I31" s="195" t="str">
        <f t="shared" si="3"/>
        <v/>
      </c>
      <c r="J31" s="5" t="str">
        <f t="shared" si="4"/>
        <v/>
      </c>
      <c r="K31" s="8" t="str">
        <f t="shared" si="5"/>
        <v/>
      </c>
      <c r="L31" s="9" t="str">
        <f t="shared" si="6"/>
        <v/>
      </c>
    </row>
    <row r="32" spans="1:13" ht="17.399999999999999" customHeight="1" x14ac:dyDescent="0.25">
      <c r="A32" s="55">
        <v>14</v>
      </c>
      <c r="B32" s="56" t="str">
        <f t="shared" si="0"/>
        <v>Sonntag</v>
      </c>
      <c r="C32" s="4">
        <v>0.35416666666666669</v>
      </c>
      <c r="D32" s="4">
        <v>0.70833333333333337</v>
      </c>
      <c r="E32" s="4">
        <v>2.0833333333333332E-2</v>
      </c>
      <c r="F32" s="346">
        <f t="shared" si="7"/>
        <v>0.33333333333333337</v>
      </c>
      <c r="G32" s="347"/>
      <c r="H32" s="212">
        <f t="shared" si="8"/>
        <v>0</v>
      </c>
      <c r="I32" s="195" t="str">
        <f t="shared" si="3"/>
        <v/>
      </c>
      <c r="J32" s="5" t="str">
        <f t="shared" si="4"/>
        <v/>
      </c>
      <c r="K32" s="8" t="str">
        <f t="shared" si="5"/>
        <v/>
      </c>
      <c r="L32" s="9">
        <f t="shared" si="6"/>
        <v>2.083333333333337E-2</v>
      </c>
    </row>
    <row r="33" spans="1:14" ht="17.399999999999999" customHeight="1" x14ac:dyDescent="0.25">
      <c r="A33" s="55">
        <v>15</v>
      </c>
      <c r="B33" s="56" t="str">
        <f t="shared" si="0"/>
        <v>Montag</v>
      </c>
      <c r="C33" s="4">
        <v>0.35416666666666669</v>
      </c>
      <c r="D33" s="4">
        <v>0.70833333333333337</v>
      </c>
      <c r="E33" s="4">
        <v>2.0833333333333332E-2</v>
      </c>
      <c r="F33" s="346">
        <f t="shared" si="7"/>
        <v>0.33333333333333337</v>
      </c>
      <c r="G33" s="347"/>
      <c r="H33" s="212">
        <f t="shared" si="8"/>
        <v>0.33333333333333331</v>
      </c>
      <c r="I33" s="195" t="str">
        <f t="shared" si="3"/>
        <v/>
      </c>
      <c r="J33" s="5" t="str">
        <f t="shared" si="4"/>
        <v/>
      </c>
      <c r="K33" s="8" t="str">
        <f t="shared" si="5"/>
        <v/>
      </c>
      <c r="L33" s="9" t="str">
        <f t="shared" si="6"/>
        <v/>
      </c>
    </row>
    <row r="34" spans="1:14" ht="17.399999999999999" customHeight="1" x14ac:dyDescent="0.25">
      <c r="A34" s="55">
        <v>16</v>
      </c>
      <c r="B34" s="56" t="str">
        <f t="shared" si="0"/>
        <v>Dienstag</v>
      </c>
      <c r="C34" s="4">
        <v>0.35416666666666669</v>
      </c>
      <c r="D34" s="4">
        <v>0.70833333333333337</v>
      </c>
      <c r="E34" s="4">
        <v>2.0833333333333332E-2</v>
      </c>
      <c r="F34" s="346">
        <f t="shared" si="7"/>
        <v>0.33333333333333337</v>
      </c>
      <c r="G34" s="347"/>
      <c r="H34" s="212">
        <f t="shared" si="8"/>
        <v>0.33333333333333331</v>
      </c>
      <c r="I34" s="195" t="str">
        <f t="shared" si="3"/>
        <v/>
      </c>
      <c r="J34" s="5" t="str">
        <f t="shared" si="4"/>
        <v/>
      </c>
      <c r="K34" s="8" t="str">
        <f t="shared" si="5"/>
        <v/>
      </c>
      <c r="L34" s="9" t="str">
        <f t="shared" si="6"/>
        <v/>
      </c>
    </row>
    <row r="35" spans="1:14" ht="17.399999999999999" customHeight="1" x14ac:dyDescent="0.25">
      <c r="A35" s="55">
        <v>17</v>
      </c>
      <c r="B35" s="56" t="str">
        <f t="shared" si="0"/>
        <v>Mittwoch</v>
      </c>
      <c r="C35" s="4">
        <v>0.35416666666666669</v>
      </c>
      <c r="D35" s="4">
        <v>0.70833333333333337</v>
      </c>
      <c r="E35" s="4">
        <v>2.0833333333333332E-2</v>
      </c>
      <c r="F35" s="346">
        <f t="shared" si="7"/>
        <v>0.33333333333333337</v>
      </c>
      <c r="G35" s="347"/>
      <c r="H35" s="212">
        <f t="shared" si="8"/>
        <v>0.33333333333333331</v>
      </c>
      <c r="I35" s="195" t="str">
        <f t="shared" si="3"/>
        <v/>
      </c>
      <c r="J35" s="5" t="str">
        <f t="shared" si="4"/>
        <v/>
      </c>
      <c r="K35" s="8" t="str">
        <f t="shared" si="5"/>
        <v/>
      </c>
      <c r="L35" s="9" t="str">
        <f t="shared" si="6"/>
        <v/>
      </c>
    </row>
    <row r="36" spans="1:14" ht="17.399999999999999" customHeight="1" x14ac:dyDescent="0.25">
      <c r="A36" s="55">
        <v>18</v>
      </c>
      <c r="B36" s="56" t="str">
        <f t="shared" si="0"/>
        <v>Donnerstag</v>
      </c>
      <c r="C36" s="4">
        <v>0.35416666666666669</v>
      </c>
      <c r="D36" s="4">
        <v>0.70833333333333337</v>
      </c>
      <c r="E36" s="4">
        <v>2.0833333333333332E-2</v>
      </c>
      <c r="F36" s="346">
        <f t="shared" ref="F36:F49" si="9">IF(OR(ISTEXT(C36),ISBLANK(C36)),"",D36-C36-E36)</f>
        <v>0.33333333333333337</v>
      </c>
      <c r="G36" s="347"/>
      <c r="H36" s="212">
        <f t="shared" si="8"/>
        <v>0.33333333333333331</v>
      </c>
      <c r="I36" s="195" t="str">
        <f t="shared" si="3"/>
        <v/>
      </c>
      <c r="J36" s="5" t="str">
        <f t="shared" si="4"/>
        <v/>
      </c>
      <c r="K36" s="8" t="str">
        <f t="shared" si="5"/>
        <v/>
      </c>
      <c r="L36" s="9" t="str">
        <f t="shared" si="6"/>
        <v/>
      </c>
    </row>
    <row r="37" spans="1:14" ht="17.399999999999999" customHeight="1" x14ac:dyDescent="0.25">
      <c r="A37" s="55">
        <v>19</v>
      </c>
      <c r="B37" s="56" t="str">
        <f t="shared" si="0"/>
        <v>Freitag</v>
      </c>
      <c r="C37" s="4">
        <v>0.35416666666666669</v>
      </c>
      <c r="D37" s="4">
        <v>0.70833333333333337</v>
      </c>
      <c r="E37" s="4">
        <v>2.0833333333333332E-2</v>
      </c>
      <c r="F37" s="346">
        <f t="shared" si="9"/>
        <v>0.33333333333333337</v>
      </c>
      <c r="G37" s="347"/>
      <c r="H37" s="212">
        <f t="shared" si="8"/>
        <v>0.3125</v>
      </c>
      <c r="I37" s="195">
        <f t="shared" si="3"/>
        <v>2.083333333333337E-2</v>
      </c>
      <c r="J37" s="5" t="str">
        <f t="shared" si="4"/>
        <v/>
      </c>
      <c r="K37" s="8" t="str">
        <f t="shared" si="5"/>
        <v/>
      </c>
      <c r="L37" s="9" t="str">
        <f t="shared" si="6"/>
        <v/>
      </c>
      <c r="N37" s="299" t="str">
        <f>IF(Mantelbogen!$C$8="Geschäftsstelle", "2024 Klassenstzg", "")</f>
        <v>2024 Klassenstzg</v>
      </c>
    </row>
    <row r="38" spans="1:14" ht="17.399999999999999" customHeight="1" x14ac:dyDescent="0.25">
      <c r="A38" s="55">
        <v>20</v>
      </c>
      <c r="B38" s="56" t="str">
        <f t="shared" si="0"/>
        <v>Samstag</v>
      </c>
      <c r="C38" s="4">
        <v>0.35416666666666669</v>
      </c>
      <c r="D38" s="4">
        <v>0.70833333333333337</v>
      </c>
      <c r="E38" s="4">
        <v>2.0833333333333332E-2</v>
      </c>
      <c r="F38" s="346">
        <f t="shared" si="9"/>
        <v>0.33333333333333337</v>
      </c>
      <c r="G38" s="347"/>
      <c r="H38" s="212">
        <f t="shared" si="8"/>
        <v>0</v>
      </c>
      <c r="I38" s="195" t="str">
        <f t="shared" si="3"/>
        <v/>
      </c>
      <c r="J38" s="5" t="str">
        <f t="shared" si="4"/>
        <v/>
      </c>
      <c r="K38" s="8" t="str">
        <f t="shared" si="5"/>
        <v/>
      </c>
      <c r="L38" s="9" t="str">
        <f t="shared" si="6"/>
        <v/>
      </c>
      <c r="N38" s="299" t="str">
        <f>IF(Mantelbogen!$C$8="Geschäftsstelle", "2024 Gesamtstzg", "")</f>
        <v>2024 Gesamtstzg</v>
      </c>
    </row>
    <row r="39" spans="1:14" ht="17.399999999999999" customHeight="1" x14ac:dyDescent="0.25">
      <c r="A39" s="55">
        <v>21</v>
      </c>
      <c r="B39" s="56" t="str">
        <f t="shared" si="0"/>
        <v>Sonntag</v>
      </c>
      <c r="C39" s="4">
        <v>0.35416666666666669</v>
      </c>
      <c r="D39" s="4">
        <v>0.70833333333333337</v>
      </c>
      <c r="E39" s="4">
        <v>2.0833333333333332E-2</v>
      </c>
      <c r="F39" s="346">
        <f t="shared" si="9"/>
        <v>0.33333333333333337</v>
      </c>
      <c r="G39" s="347"/>
      <c r="H39" s="212">
        <f t="shared" si="8"/>
        <v>0</v>
      </c>
      <c r="I39" s="195" t="str">
        <f t="shared" si="3"/>
        <v/>
      </c>
      <c r="J39" s="5" t="str">
        <f t="shared" si="4"/>
        <v/>
      </c>
      <c r="K39" s="8" t="str">
        <f t="shared" si="5"/>
        <v/>
      </c>
      <c r="L39" s="9">
        <f t="shared" si="6"/>
        <v>2.083333333333337E-2</v>
      </c>
    </row>
    <row r="40" spans="1:14" ht="17.399999999999999" customHeight="1" x14ac:dyDescent="0.25">
      <c r="A40" s="55">
        <v>22</v>
      </c>
      <c r="B40" s="56" t="str">
        <f t="shared" si="0"/>
        <v>Montag</v>
      </c>
      <c r="C40" s="4">
        <v>0.35416666666666669</v>
      </c>
      <c r="D40" s="4">
        <v>0.70833333333333337</v>
      </c>
      <c r="E40" s="4">
        <v>2.0833333333333332E-2</v>
      </c>
      <c r="F40" s="346">
        <f t="shared" si="9"/>
        <v>0.33333333333333337</v>
      </c>
      <c r="G40" s="347"/>
      <c r="H40" s="212">
        <f t="shared" si="8"/>
        <v>0.33333333333333331</v>
      </c>
      <c r="I40" s="195" t="str">
        <f t="shared" si="3"/>
        <v/>
      </c>
      <c r="J40" s="5" t="str">
        <f t="shared" si="4"/>
        <v/>
      </c>
      <c r="K40" s="8" t="str">
        <f t="shared" si="5"/>
        <v/>
      </c>
      <c r="L40" s="9" t="str">
        <f t="shared" si="6"/>
        <v/>
      </c>
    </row>
    <row r="41" spans="1:14" ht="17.399999999999999" customHeight="1" x14ac:dyDescent="0.25">
      <c r="A41" s="55">
        <v>23</v>
      </c>
      <c r="B41" s="56" t="str">
        <f t="shared" si="0"/>
        <v>Dienstag</v>
      </c>
      <c r="C41" s="4">
        <v>0.35416666666666669</v>
      </c>
      <c r="D41" s="4">
        <v>0.70833333333333337</v>
      </c>
      <c r="E41" s="4">
        <v>2.0833333333333332E-2</v>
      </c>
      <c r="F41" s="346">
        <f t="shared" si="9"/>
        <v>0.33333333333333337</v>
      </c>
      <c r="G41" s="347"/>
      <c r="H41" s="212">
        <f t="shared" si="8"/>
        <v>0.33333333333333331</v>
      </c>
      <c r="I41" s="195" t="str">
        <f t="shared" si="3"/>
        <v/>
      </c>
      <c r="J41" s="5" t="str">
        <f t="shared" si="4"/>
        <v/>
      </c>
      <c r="K41" s="8" t="str">
        <f t="shared" si="5"/>
        <v/>
      </c>
      <c r="L41" s="9" t="str">
        <f t="shared" si="6"/>
        <v/>
      </c>
    </row>
    <row r="42" spans="1:14" ht="17.399999999999999" customHeight="1" x14ac:dyDescent="0.25">
      <c r="A42" s="55">
        <v>24</v>
      </c>
      <c r="B42" s="56" t="str">
        <f t="shared" si="0"/>
        <v>Mittwoch</v>
      </c>
      <c r="C42" s="4">
        <v>0.35416666666666669</v>
      </c>
      <c r="D42" s="4">
        <v>0.70833333333333337</v>
      </c>
      <c r="E42" s="4">
        <v>2.0833333333333332E-2</v>
      </c>
      <c r="F42" s="346">
        <f t="shared" si="9"/>
        <v>0.33333333333333337</v>
      </c>
      <c r="G42" s="347"/>
      <c r="H42" s="212">
        <f t="shared" si="8"/>
        <v>0.33333333333333331</v>
      </c>
      <c r="I42" s="195" t="str">
        <f t="shared" si="3"/>
        <v/>
      </c>
      <c r="J42" s="5" t="str">
        <f t="shared" si="4"/>
        <v/>
      </c>
      <c r="K42" s="8" t="str">
        <f t="shared" si="5"/>
        <v/>
      </c>
      <c r="L42" s="9" t="str">
        <f t="shared" si="6"/>
        <v/>
      </c>
    </row>
    <row r="43" spans="1:14" ht="17.399999999999999" customHeight="1" x14ac:dyDescent="0.25">
      <c r="A43" s="55">
        <v>25</v>
      </c>
      <c r="B43" s="56" t="str">
        <f t="shared" si="0"/>
        <v>Donnerstag</v>
      </c>
      <c r="C43" s="4">
        <v>0.35416666666666669</v>
      </c>
      <c r="D43" s="4">
        <v>0.70833333333333337</v>
      </c>
      <c r="E43" s="4">
        <v>2.0833333333333332E-2</v>
      </c>
      <c r="F43" s="346">
        <f t="shared" si="9"/>
        <v>0.33333333333333337</v>
      </c>
      <c r="G43" s="347"/>
      <c r="H43" s="212">
        <f t="shared" si="8"/>
        <v>0.33333333333333331</v>
      </c>
      <c r="I43" s="195" t="str">
        <f t="shared" si="3"/>
        <v/>
      </c>
      <c r="J43" s="5" t="str">
        <f t="shared" si="4"/>
        <v/>
      </c>
      <c r="K43" s="8" t="str">
        <f t="shared" si="5"/>
        <v/>
      </c>
      <c r="L43" s="9" t="str">
        <f t="shared" si="6"/>
        <v/>
      </c>
      <c r="N43" s="283" t="s">
        <v>121</v>
      </c>
    </row>
    <row r="44" spans="1:14" ht="17.399999999999999" customHeight="1" x14ac:dyDescent="0.25">
      <c r="A44" s="55">
        <v>26</v>
      </c>
      <c r="B44" s="56" t="str">
        <f t="shared" si="0"/>
        <v>Freitag</v>
      </c>
      <c r="C44" s="4">
        <v>0.35416666666666669</v>
      </c>
      <c r="D44" s="4">
        <v>0.70833333333333337</v>
      </c>
      <c r="E44" s="4">
        <v>2.0833333333333332E-2</v>
      </c>
      <c r="F44" s="346">
        <f t="shared" si="9"/>
        <v>0.33333333333333337</v>
      </c>
      <c r="G44" s="347"/>
      <c r="H44" s="212">
        <f t="shared" si="8"/>
        <v>0.3125</v>
      </c>
      <c r="I44" s="195">
        <f t="shared" si="3"/>
        <v>2.083333333333337E-2</v>
      </c>
      <c r="J44" s="5" t="str">
        <f t="shared" si="4"/>
        <v/>
      </c>
      <c r="K44" s="8" t="str">
        <f t="shared" si="5"/>
        <v/>
      </c>
      <c r="L44" s="9" t="str">
        <f t="shared" si="6"/>
        <v/>
      </c>
    </row>
    <row r="45" spans="1:14" ht="17.399999999999999" customHeight="1" x14ac:dyDescent="0.25">
      <c r="A45" s="55">
        <v>27</v>
      </c>
      <c r="B45" s="56" t="str">
        <f t="shared" si="0"/>
        <v>Samstag</v>
      </c>
      <c r="C45" s="4">
        <v>0.35416666666666669</v>
      </c>
      <c r="D45" s="4">
        <v>0.70833333333333337</v>
      </c>
      <c r="E45" s="4">
        <v>2.0833333333333332E-2</v>
      </c>
      <c r="F45" s="346">
        <f t="shared" si="9"/>
        <v>0.33333333333333337</v>
      </c>
      <c r="G45" s="347"/>
      <c r="H45" s="212">
        <f t="shared" si="8"/>
        <v>0</v>
      </c>
      <c r="I45" s="195" t="str">
        <f t="shared" si="3"/>
        <v/>
      </c>
      <c r="J45" s="5" t="str">
        <f t="shared" si="4"/>
        <v/>
      </c>
      <c r="K45" s="8" t="str">
        <f t="shared" si="5"/>
        <v/>
      </c>
      <c r="L45" s="9" t="str">
        <f t="shared" si="6"/>
        <v/>
      </c>
    </row>
    <row r="46" spans="1:14" ht="17.399999999999999" customHeight="1" x14ac:dyDescent="0.25">
      <c r="A46" s="55">
        <v>28</v>
      </c>
      <c r="B46" s="56" t="str">
        <f t="shared" si="0"/>
        <v>Sonntag</v>
      </c>
      <c r="C46" s="4">
        <v>0.35416666666666669</v>
      </c>
      <c r="D46" s="4">
        <v>0.70833333333333337</v>
      </c>
      <c r="E46" s="4">
        <v>2.0833333333333332E-2</v>
      </c>
      <c r="F46" s="346">
        <f t="shared" si="9"/>
        <v>0.33333333333333337</v>
      </c>
      <c r="G46" s="347"/>
      <c r="H46" s="212">
        <f t="shared" si="8"/>
        <v>0</v>
      </c>
      <c r="I46" s="195" t="str">
        <f t="shared" si="3"/>
        <v/>
      </c>
      <c r="J46" s="5" t="str">
        <f t="shared" si="4"/>
        <v/>
      </c>
      <c r="K46" s="8" t="str">
        <f t="shared" si="5"/>
        <v/>
      </c>
      <c r="L46" s="9">
        <f t="shared" si="6"/>
        <v>2.083333333333337E-2</v>
      </c>
    </row>
    <row r="47" spans="1:14" ht="17.399999999999999" customHeight="1" x14ac:dyDescent="0.25">
      <c r="A47" s="55">
        <v>29</v>
      </c>
      <c r="B47" s="56" t="str">
        <f t="shared" si="0"/>
        <v>Montag</v>
      </c>
      <c r="C47" s="4">
        <v>0.35416666666666669</v>
      </c>
      <c r="D47" s="4">
        <v>0.70833333333333337</v>
      </c>
      <c r="E47" s="4">
        <v>2.0833333333333332E-2</v>
      </c>
      <c r="F47" s="346">
        <f t="shared" si="9"/>
        <v>0.33333333333333337</v>
      </c>
      <c r="G47" s="347"/>
      <c r="H47" s="212">
        <f t="shared" si="8"/>
        <v>0.33333333333333331</v>
      </c>
      <c r="I47" s="195" t="str">
        <f t="shared" si="3"/>
        <v/>
      </c>
      <c r="J47" s="5" t="str">
        <f t="shared" si="4"/>
        <v/>
      </c>
      <c r="K47" s="8" t="str">
        <f>IF(AND(B47="Sonntag",SUM(I41:I47)&lt;SUM(J41:J47)),"-","")</f>
        <v/>
      </c>
      <c r="L47" s="9" t="str">
        <f>IF(B47="Sonntag",ABS(SUM(I41:I47)-SUM(J41:J47)),"")</f>
        <v/>
      </c>
    </row>
    <row r="48" spans="1:14" ht="17.399999999999999" customHeight="1" x14ac:dyDescent="0.25">
      <c r="A48" s="55">
        <v>30</v>
      </c>
      <c r="B48" s="56" t="str">
        <f t="shared" si="0"/>
        <v>Dienstag</v>
      </c>
      <c r="C48" s="4">
        <v>0.35416666666666669</v>
      </c>
      <c r="D48" s="4">
        <v>0.70833333333333337</v>
      </c>
      <c r="E48" s="4">
        <v>2.0833333333333332E-2</v>
      </c>
      <c r="F48" s="346">
        <f t="shared" si="9"/>
        <v>0.33333333333333337</v>
      </c>
      <c r="G48" s="347"/>
      <c r="H48" s="212">
        <f t="shared" si="8"/>
        <v>0.33333333333333331</v>
      </c>
      <c r="I48" s="195" t="str">
        <f t="shared" si="3"/>
        <v/>
      </c>
      <c r="J48" s="5" t="str">
        <f t="shared" si="4"/>
        <v/>
      </c>
      <c r="K48" s="8" t="str">
        <f>IF(AND(B48="Sonntag",SUM(I42:I48)&lt;SUM(J42:J48)),"-","")</f>
        <v/>
      </c>
      <c r="L48" s="9" t="str">
        <f>IF(B48="Sonntag",ABS(SUM(I42:I48)-SUM(J42:J48)),"")</f>
        <v/>
      </c>
    </row>
    <row r="49" spans="1:14" ht="17.399999999999999" customHeight="1" x14ac:dyDescent="0.3">
      <c r="A49" s="55">
        <v>31</v>
      </c>
      <c r="B49" s="56" t="str">
        <f>TEXT(CONCATENATE(A49,".",I$11," ", J$11), "TTTT")</f>
        <v>Mittwoch</v>
      </c>
      <c r="C49" s="4">
        <v>0.35416666666666669</v>
      </c>
      <c r="D49" s="4">
        <v>0.70833333333333337</v>
      </c>
      <c r="E49" s="4">
        <v>2.0833333333333332E-2</v>
      </c>
      <c r="F49" s="346">
        <f t="shared" si="9"/>
        <v>0.33333333333333337</v>
      </c>
      <c r="G49" s="347"/>
      <c r="H49" s="212">
        <f t="shared" si="8"/>
        <v>0.33333333333333331</v>
      </c>
      <c r="I49" s="195" t="str">
        <f t="shared" ref="I49" si="10">IF(OR(AND(F49&gt;H49,OR(B49&lt;&gt;"Samstag",H$56&gt;0),OR(B49&lt;&gt;"Sonntag",H$57&gt;0),AND(ISNONTEXT(C49),C49&lt;&gt;""))),F49-H49,"")</f>
        <v/>
      </c>
      <c r="J49" s="5" t="str">
        <f t="shared" si="4"/>
        <v/>
      </c>
      <c r="K49" s="10" t="str">
        <f ca="1">IF(SUM(INDIRECT("I"&amp;ROW()-WEEKDAY(CONCATENATE(A49,".",I$11," ",J$11),3)):I49) &lt; SUM(INDIRECT("j"&amp;ROW()-WEEKDAY(CONCATENATE(A49,".",I$11," ",J$11),3)):J49),"-","")</f>
        <v/>
      </c>
      <c r="L49" s="11">
        <f ca="1">ABS(SUM(INDIRECT("I"&amp;ROW()-WEEKDAY(CONCATENATE(A49,".",I$11," ",J$11),3)):I49)-SUM(INDIRECT("j"&amp;ROW()-WEEKDAY(CONCATENATE(A49,".",I$11," ",J$11),3)):J49))</f>
        <v>0</v>
      </c>
    </row>
    <row r="50" spans="1:14" s="68" customFormat="1" ht="17.399999999999999" customHeight="1" thickBot="1" x14ac:dyDescent="0.3">
      <c r="A50" s="59" t="str">
        <f>Jan!A50</f>
        <v>Sonstige Zeiten laut beigefügter Aufstellung (s. Anlage):</v>
      </c>
      <c r="B50" s="60"/>
      <c r="C50" s="61"/>
      <c r="D50" s="62"/>
      <c r="E50" s="62"/>
      <c r="F50" s="62"/>
      <c r="G50" s="62"/>
      <c r="H50" s="63"/>
      <c r="I50" s="219">
        <v>0</v>
      </c>
      <c r="J50" s="220">
        <v>0</v>
      </c>
      <c r="K50" s="66"/>
      <c r="L50" s="67"/>
      <c r="M50" s="171"/>
      <c r="N50" s="171"/>
    </row>
    <row r="51" spans="1:14" x14ac:dyDescent="0.25">
      <c r="A51" s="338" t="s">
        <v>3</v>
      </c>
      <c r="B51" s="338"/>
      <c r="C51" s="338"/>
      <c r="D51" s="338"/>
      <c r="H51" s="69">
        <f>Jun!H51</f>
        <v>0.33333333333333331</v>
      </c>
      <c r="I51" s="351">
        <f>SUM(I17:I50)</f>
        <v>0.60416666666666774</v>
      </c>
      <c r="J51" s="351">
        <f>SUM(J17:J50)</f>
        <v>0</v>
      </c>
      <c r="K51" s="333" t="str">
        <f ca="1">IF(SUMIF(K19:K49,"",L19:L49)&lt;SUMIF(K19:K49,"-",L19:L49),"-","")</f>
        <v/>
      </c>
      <c r="L51" s="335">
        <f ca="1">ABS(SUMIF(K19:K49,"",L19:L49)-SUMIF(K19:K49,"-",L19:L49))</f>
        <v>8.3333333333333481E-2</v>
      </c>
    </row>
    <row r="52" spans="1:14" ht="13.5" thickBot="1" x14ac:dyDescent="0.35">
      <c r="A52" s="339"/>
      <c r="B52" s="339"/>
      <c r="C52" s="339"/>
      <c r="D52" s="339"/>
      <c r="G52" s="70" t="s">
        <v>12</v>
      </c>
      <c r="H52" s="69">
        <f>Jun!H52</f>
        <v>0.33333333333333331</v>
      </c>
      <c r="I52" s="352"/>
      <c r="J52" s="352"/>
      <c r="K52" s="334"/>
      <c r="L52" s="336"/>
    </row>
    <row r="53" spans="1:14" x14ac:dyDescent="0.25">
      <c r="A53" s="339"/>
      <c r="B53" s="339"/>
      <c r="C53" s="339"/>
      <c r="D53" s="339"/>
      <c r="G53" s="71"/>
      <c r="H53" s="69">
        <f>Jun!H53</f>
        <v>0.33333333333333331</v>
      </c>
      <c r="I53" s="344">
        <f>IF(I51&gt;J51,I51-J51,0)</f>
        <v>0.60416666666666774</v>
      </c>
      <c r="J53" s="342" t="str">
        <f>IF(J51&gt;I51,J51-I51,"")</f>
        <v/>
      </c>
      <c r="K53" s="230"/>
      <c r="L53" s="170"/>
    </row>
    <row r="54" spans="1:14" ht="13.5" thickBot="1" x14ac:dyDescent="0.35">
      <c r="A54" s="341" t="s">
        <v>15</v>
      </c>
      <c r="B54" s="341"/>
      <c r="C54" s="341"/>
      <c r="D54" s="341"/>
      <c r="E54" s="72"/>
      <c r="F54" s="72"/>
      <c r="G54" s="70" t="s">
        <v>13</v>
      </c>
      <c r="H54" s="69">
        <f>Jun!H54</f>
        <v>0.33333333333333331</v>
      </c>
      <c r="I54" s="390"/>
      <c r="J54" s="343"/>
      <c r="K54" s="230"/>
      <c r="L54" s="170"/>
    </row>
    <row r="55" spans="1:14" x14ac:dyDescent="0.25">
      <c r="A55" s="338" t="s">
        <v>4</v>
      </c>
      <c r="B55" s="338"/>
      <c r="C55" s="338"/>
      <c r="D55" s="338"/>
      <c r="E55" s="72"/>
      <c r="F55" s="72"/>
      <c r="G55" s="72"/>
      <c r="H55" s="69">
        <f>Jun!H55</f>
        <v>0.3125</v>
      </c>
      <c r="I55" s="72"/>
      <c r="J55" s="72"/>
      <c r="K55" s="230"/>
      <c r="L55" s="170"/>
    </row>
    <row r="56" spans="1:14" ht="13.25" customHeight="1" x14ac:dyDescent="0.25">
      <c r="A56" s="339"/>
      <c r="B56" s="339"/>
      <c r="C56" s="339"/>
      <c r="D56" s="339"/>
      <c r="E56" s="245" t="str">
        <f>Jan!E56</f>
        <v xml:space="preserve"> </v>
      </c>
      <c r="F56" s="223"/>
      <c r="G56" s="74" t="str">
        <f>IF(E56=" ", " ", IF(Mantelbogen!D26=I11,Mantelbogen!C29,Jun!G58))</f>
        <v xml:space="preserve"> </v>
      </c>
      <c r="H56" s="187">
        <v>0</v>
      </c>
      <c r="I56" s="340" t="s">
        <v>129</v>
      </c>
      <c r="J56" s="340"/>
      <c r="K56" s="23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23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95">
        <f>SUM(H51:H57)</f>
        <v>1.6458333333333333</v>
      </c>
      <c r="I58" s="340"/>
      <c r="J58" s="340"/>
      <c r="L58" s="188" t="str">
        <f>Mantelbogen!D47</f>
        <v>04.12.2023  HAdW / G. Wolff</v>
      </c>
    </row>
    <row r="59" spans="1:14" x14ac:dyDescent="0.25">
      <c r="G59" s="94"/>
      <c r="H59" s="94"/>
      <c r="I59" s="94"/>
      <c r="J59" s="94"/>
    </row>
    <row r="60" spans="1:14" x14ac:dyDescent="0.25">
      <c r="G60" s="389"/>
      <c r="H60" s="389"/>
      <c r="I60" s="389"/>
      <c r="J60" s="94"/>
    </row>
    <row r="61" spans="1:14" x14ac:dyDescent="0.25">
      <c r="G61" s="94"/>
      <c r="H61" s="94"/>
      <c r="I61" s="94"/>
      <c r="J61" s="94"/>
    </row>
    <row r="62" spans="1:14" x14ac:dyDescent="0.25">
      <c r="G62" s="94"/>
      <c r="H62" s="94"/>
      <c r="I62" s="94"/>
      <c r="J62" s="94"/>
    </row>
  </sheetData>
  <sheetProtection password="9BC9" sheet="1" objects="1" scenarios="1"/>
  <mergeCells count="62">
    <mergeCell ref="A11:B11"/>
    <mergeCell ref="A13:B13"/>
    <mergeCell ref="A15:A18"/>
    <mergeCell ref="B15:B18"/>
    <mergeCell ref="G1:J7"/>
    <mergeCell ref="C3:D3"/>
    <mergeCell ref="A4:E6"/>
    <mergeCell ref="I15:J15"/>
    <mergeCell ref="C15:C18"/>
    <mergeCell ref="D15:D18"/>
    <mergeCell ref="E15:E18"/>
    <mergeCell ref="J17:J18"/>
    <mergeCell ref="F28:G28"/>
    <mergeCell ref="H15:H18"/>
    <mergeCell ref="I17:I18"/>
    <mergeCell ref="F20:G20"/>
    <mergeCell ref="F21:G21"/>
    <mergeCell ref="F22:G22"/>
    <mergeCell ref="F23:G23"/>
    <mergeCell ref="F15:G18"/>
    <mergeCell ref="F24:G24"/>
    <mergeCell ref="F25:G25"/>
    <mergeCell ref="F26:G26"/>
    <mergeCell ref="F27:G27"/>
    <mergeCell ref="F19:G19"/>
    <mergeCell ref="F32:G32"/>
    <mergeCell ref="F33:G33"/>
    <mergeCell ref="F34:G34"/>
    <mergeCell ref="F35:G35"/>
    <mergeCell ref="F29:G29"/>
    <mergeCell ref="F30:G30"/>
    <mergeCell ref="F31:G31"/>
    <mergeCell ref="F43:G43"/>
    <mergeCell ref="F36:G36"/>
    <mergeCell ref="F37:G37"/>
    <mergeCell ref="F38:G38"/>
    <mergeCell ref="F39:G39"/>
    <mergeCell ref="A54:D54"/>
    <mergeCell ref="G60:I60"/>
    <mergeCell ref="A55:D55"/>
    <mergeCell ref="A56:D57"/>
    <mergeCell ref="I56:J58"/>
    <mergeCell ref="A58:D58"/>
    <mergeCell ref="J53:J54"/>
    <mergeCell ref="I53:I54"/>
    <mergeCell ref="A52:D53"/>
    <mergeCell ref="F48:G48"/>
    <mergeCell ref="F49:G49"/>
    <mergeCell ref="A51:D51"/>
    <mergeCell ref="I51:I52"/>
    <mergeCell ref="K15:L16"/>
    <mergeCell ref="K17:L18"/>
    <mergeCell ref="K51:K52"/>
    <mergeCell ref="L51:L52"/>
    <mergeCell ref="J51:J52"/>
    <mergeCell ref="F44:G44"/>
    <mergeCell ref="F45:G45"/>
    <mergeCell ref="F46:G46"/>
    <mergeCell ref="F47:G47"/>
    <mergeCell ref="F40:G40"/>
    <mergeCell ref="F41:G41"/>
    <mergeCell ref="F42:G42"/>
  </mergeCells>
  <phoneticPr fontId="0" type="noConversion"/>
  <conditionalFormatting sqref="F19:F49">
    <cfRule type="expression" dxfId="41" priority="47">
      <formula>AND(ISNONTEXT($C19),$F19 &gt; 0.666667)</formula>
    </cfRule>
  </conditionalFormatting>
  <conditionalFormatting sqref="C19:C49">
    <cfRule type="expression" dxfId="40" priority="2">
      <formula>ISTEXT($C19)</formula>
    </cfRule>
  </conditionalFormatting>
  <conditionalFormatting sqref="A19:L49">
    <cfRule type="expression" dxfId="39" priority="1">
      <formula>OR($B19="Samstag", $B19="Sonntag", NOT( ISERROR(FIND("feiertag",LOWER($C19)) ) ),  NOT( ISERROR(FIND("pfingst",LOWER($C19)) ) ) )</formula>
    </cfRule>
  </conditionalFormatting>
  <conditionalFormatting sqref="E19:E49">
    <cfRule type="expression" dxfId="38" priority="6">
      <formula>AND(ISNONTEXT($C19), OR(AND($F19 &gt; 0.250001, $E19 &lt; 0.020833332), AND($F19 &gt; 0.375, $E19 &lt; 0.03124999)  ) )</formula>
    </cfRule>
  </conditionalFormatting>
  <conditionalFormatting sqref="C19:J49">
    <cfRule type="expression" dxfId="37" priority="3">
      <formula>OR(AND($B19="Samstag", $H$56&lt;0.00001),AND($B19="Sonntag", $H$57&lt;0.00001))</formula>
    </cfRule>
  </conditionalFormatting>
  <conditionalFormatting sqref="C19:I49">
    <cfRule type="expression" dxfId="36" priority="4">
      <formula>AND($B19="Samstag", $H$56&gt;0.00001)</formula>
    </cfRule>
    <cfRule type="expression" dxfId="35" priority="5">
      <formula>AND($B19="Sonntag", $H$57&gt;0.00001)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N62"/>
  <sheetViews>
    <sheetView topLeftCell="A31" zoomScaleNormal="100" workbookViewId="0">
      <selection activeCell="I56" sqref="I56:J58"/>
    </sheetView>
  </sheetViews>
  <sheetFormatPr defaultColWidth="11.54296875" defaultRowHeight="12.5" x14ac:dyDescent="0.25"/>
  <cols>
    <col min="1" max="1" width="5.54296875" style="20" customWidth="1"/>
    <col min="2" max="2" width="9.08984375" style="21" customWidth="1"/>
    <col min="3" max="3" width="9.6328125" style="21" customWidth="1"/>
    <col min="4" max="4" width="9.08984375" style="21" customWidth="1"/>
    <col min="5" max="5" width="8.54296875" style="18" customWidth="1"/>
    <col min="6" max="6" width="7.08984375" style="18" customWidth="1"/>
    <col min="7" max="7" width="3.36328125" style="18" customWidth="1"/>
    <col min="8" max="8" width="9.08984375" style="18" customWidth="1"/>
    <col min="9" max="9" width="10.1796875" style="18" customWidth="1"/>
    <col min="10" max="10" width="10.36328125" style="18" customWidth="1"/>
    <col min="11" max="11" width="2.90625" style="18" customWidth="1"/>
    <col min="12" max="12" width="9" style="18" customWidth="1"/>
    <col min="13" max="13" width="16.36328125" style="170" customWidth="1"/>
    <col min="14" max="14" width="18.1796875" style="170" customWidth="1"/>
    <col min="15" max="16384" width="11.54296875" style="18"/>
  </cols>
  <sheetData>
    <row r="1" spans="1:12" ht="15.5" x14ac:dyDescent="0.35">
      <c r="A1" s="15" t="s">
        <v>72</v>
      </c>
      <c r="B1" s="15"/>
      <c r="C1" s="16"/>
      <c r="D1" s="16"/>
      <c r="E1" s="16"/>
      <c r="F1" s="17"/>
      <c r="G1" s="359" t="s">
        <v>9</v>
      </c>
      <c r="H1" s="359"/>
      <c r="I1" s="359"/>
      <c r="J1" s="359"/>
    </row>
    <row r="2" spans="1:12" ht="15.5" x14ac:dyDescent="0.35">
      <c r="A2" s="16"/>
      <c r="B2" s="16"/>
      <c r="C2" s="16"/>
      <c r="D2" s="16"/>
      <c r="E2" s="16"/>
      <c r="F2" s="19"/>
      <c r="G2" s="359"/>
      <c r="H2" s="359"/>
      <c r="I2" s="359"/>
      <c r="J2" s="359"/>
    </row>
    <row r="3" spans="1:12" x14ac:dyDescent="0.25">
      <c r="C3" s="380" t="s">
        <v>11</v>
      </c>
      <c r="D3" s="380"/>
      <c r="G3" s="359"/>
      <c r="H3" s="359"/>
      <c r="I3" s="359"/>
      <c r="J3" s="359"/>
    </row>
    <row r="4" spans="1:12" ht="13.25" customHeight="1" x14ac:dyDescent="0.25">
      <c r="A4" s="361" t="s">
        <v>5</v>
      </c>
      <c r="B4" s="361"/>
      <c r="C4" s="361"/>
      <c r="D4" s="361"/>
      <c r="E4" s="361"/>
      <c r="F4" s="22"/>
      <c r="G4" s="359"/>
      <c r="H4" s="359"/>
      <c r="I4" s="359"/>
      <c r="J4" s="359"/>
    </row>
    <row r="5" spans="1:12" ht="6" customHeight="1" x14ac:dyDescent="0.25">
      <c r="A5" s="361"/>
      <c r="B5" s="361"/>
      <c r="C5" s="361"/>
      <c r="D5" s="361"/>
      <c r="E5" s="361"/>
      <c r="F5" s="22"/>
      <c r="G5" s="359"/>
      <c r="H5" s="359"/>
      <c r="I5" s="359"/>
      <c r="J5" s="359"/>
    </row>
    <row r="6" spans="1:12" ht="13.25" customHeight="1" x14ac:dyDescent="0.25">
      <c r="A6" s="361"/>
      <c r="B6" s="361"/>
      <c r="C6" s="361"/>
      <c r="D6" s="361"/>
      <c r="E6" s="361"/>
      <c r="F6" s="22"/>
      <c r="G6" s="359"/>
      <c r="H6" s="359"/>
      <c r="I6" s="359"/>
      <c r="J6" s="359"/>
    </row>
    <row r="7" spans="1:12" ht="13.25" customHeight="1" x14ac:dyDescent="0.25">
      <c r="A7" s="22"/>
      <c r="B7" s="22"/>
      <c r="C7" s="22"/>
      <c r="D7" s="22"/>
      <c r="E7" s="22"/>
      <c r="F7" s="22"/>
      <c r="G7" s="359"/>
      <c r="H7" s="359"/>
      <c r="I7" s="359"/>
      <c r="J7" s="359"/>
    </row>
    <row r="8" spans="1:12" ht="6" customHeight="1" thickBot="1" x14ac:dyDescent="0.3">
      <c r="A8" s="23"/>
      <c r="B8" s="24"/>
      <c r="C8" s="24"/>
      <c r="D8" s="24"/>
      <c r="E8" s="25"/>
      <c r="F8" s="25"/>
      <c r="G8" s="25"/>
      <c r="H8" s="25"/>
      <c r="I8" s="26"/>
      <c r="J8" s="26"/>
      <c r="K8" s="27"/>
      <c r="L8" s="28"/>
    </row>
    <row r="9" spans="1:12" ht="6" customHeight="1" x14ac:dyDescent="0.25">
      <c r="A9" s="29"/>
      <c r="B9" s="30"/>
      <c r="C9" s="30"/>
      <c r="D9" s="30"/>
      <c r="E9" s="31"/>
      <c r="F9" s="31"/>
      <c r="G9" s="31"/>
      <c r="H9" s="31"/>
      <c r="I9" s="32"/>
      <c r="J9" s="32"/>
      <c r="K9" s="33"/>
      <c r="L9" s="34"/>
    </row>
    <row r="10" spans="1:12" x14ac:dyDescent="0.25">
      <c r="A10" s="29"/>
      <c r="B10" s="30"/>
      <c r="C10" s="30"/>
      <c r="D10" s="30"/>
      <c r="E10" s="31"/>
      <c r="F10" s="31"/>
      <c r="G10" s="31"/>
      <c r="I10" s="32"/>
      <c r="J10" s="32"/>
      <c r="K10" s="33"/>
      <c r="L10" s="34"/>
    </row>
    <row r="11" spans="1:12" x14ac:dyDescent="0.25">
      <c r="A11" s="357" t="s">
        <v>6</v>
      </c>
      <c r="B11" s="357"/>
      <c r="C11" s="35" t="str">
        <f>Jul!C11</f>
        <v>ATHENE, Pallas</v>
      </c>
      <c r="D11" s="36"/>
      <c r="E11" s="37"/>
      <c r="F11" s="38"/>
      <c r="G11" s="38" t="s">
        <v>8</v>
      </c>
      <c r="H11" s="39"/>
      <c r="I11" s="75" t="s">
        <v>22</v>
      </c>
      <c r="J11" s="96">
        <f>Jan!J11</f>
        <v>2024</v>
      </c>
      <c r="K11" s="42"/>
      <c r="L11" s="43"/>
    </row>
    <row r="12" spans="1:12" x14ac:dyDescent="0.25">
      <c r="B12" s="34"/>
      <c r="C12" s="44"/>
      <c r="D12" s="45"/>
      <c r="E12" s="38"/>
      <c r="F12" s="38"/>
      <c r="G12" s="31"/>
      <c r="I12" s="32"/>
      <c r="J12" s="32"/>
      <c r="K12" s="33"/>
      <c r="L12" s="34"/>
    </row>
    <row r="13" spans="1:12" x14ac:dyDescent="0.25">
      <c r="A13" s="357" t="s">
        <v>7</v>
      </c>
      <c r="B13" s="357"/>
      <c r="C13" s="35" t="str">
        <f>Jul!C13</f>
        <v>Geschäftsstelle</v>
      </c>
      <c r="D13" s="50"/>
      <c r="E13" s="37"/>
      <c r="F13" s="51"/>
      <c r="G13" s="51"/>
      <c r="H13" s="39"/>
      <c r="I13" s="36"/>
      <c r="J13" s="37"/>
      <c r="K13" s="42"/>
      <c r="L13" s="43"/>
    </row>
    <row r="14" spans="1:12" ht="13" thickBot="1" x14ac:dyDescent="0.3">
      <c r="K14" s="33"/>
      <c r="L14" s="34"/>
    </row>
    <row r="15" spans="1:12" ht="13.25" customHeight="1" x14ac:dyDescent="0.25">
      <c r="A15" s="358"/>
      <c r="B15" s="358" t="s">
        <v>14</v>
      </c>
      <c r="C15" s="358" t="s">
        <v>28</v>
      </c>
      <c r="D15" s="358" t="s">
        <v>29</v>
      </c>
      <c r="E15" s="358" t="s">
        <v>16</v>
      </c>
      <c r="F15" s="365" t="s">
        <v>61</v>
      </c>
      <c r="G15" s="365"/>
      <c r="H15" s="362" t="s">
        <v>62</v>
      </c>
      <c r="I15" s="367" t="s">
        <v>0</v>
      </c>
      <c r="J15" s="367"/>
      <c r="K15" s="325" t="s">
        <v>60</v>
      </c>
      <c r="L15" s="326"/>
    </row>
    <row r="16" spans="1:12" ht="13" thickBot="1" x14ac:dyDescent="0.3">
      <c r="A16" s="358"/>
      <c r="B16" s="358"/>
      <c r="C16" s="358"/>
      <c r="D16" s="358"/>
      <c r="E16" s="358"/>
      <c r="F16" s="365"/>
      <c r="G16" s="365"/>
      <c r="H16" s="363"/>
      <c r="I16" s="54" t="s">
        <v>1</v>
      </c>
      <c r="J16" s="54" t="s">
        <v>2</v>
      </c>
      <c r="K16" s="327"/>
      <c r="L16" s="328"/>
    </row>
    <row r="17" spans="1:12" ht="13" thickBot="1" x14ac:dyDescent="0.3">
      <c r="A17" s="358"/>
      <c r="B17" s="358"/>
      <c r="C17" s="358"/>
      <c r="D17" s="358"/>
      <c r="E17" s="358"/>
      <c r="F17" s="365"/>
      <c r="G17" s="365"/>
      <c r="H17" s="363"/>
      <c r="I17" s="368">
        <f>IF(Mantelbogen!D26=I11,Mantelbogen!C28,Jul!I53)</f>
        <v>0.60416666666666774</v>
      </c>
      <c r="J17" s="369" t="str">
        <f>IF(Mantelbogen!D26=I11,Mantelbogen!D28,Jul!J53)</f>
        <v/>
      </c>
      <c r="K17" s="329" t="str">
        <f>IF(I17/H58 &gt; 1, I17/H58, " " )</f>
        <v xml:space="preserve"> </v>
      </c>
      <c r="L17" s="330"/>
    </row>
    <row r="18" spans="1:12" ht="13" thickBot="1" x14ac:dyDescent="0.3">
      <c r="A18" s="358"/>
      <c r="B18" s="358"/>
      <c r="C18" s="358"/>
      <c r="D18" s="358"/>
      <c r="E18" s="358"/>
      <c r="F18" s="365"/>
      <c r="G18" s="365"/>
      <c r="H18" s="364"/>
      <c r="I18" s="368"/>
      <c r="J18" s="369"/>
      <c r="K18" s="331"/>
      <c r="L18" s="332"/>
    </row>
    <row r="19" spans="1:12" ht="17.399999999999999" customHeight="1" x14ac:dyDescent="0.25">
      <c r="A19" s="55">
        <v>1</v>
      </c>
      <c r="B19" s="56" t="str">
        <f t="shared" ref="B19:B49" si="0">TEXT(CONCATENATE(A19,".",I$11," ", J$11), "TTTT")</f>
        <v>Donnerstag</v>
      </c>
      <c r="C19" s="4">
        <v>0.35416666666666669</v>
      </c>
      <c r="D19" s="4">
        <v>0.70833333333333337</v>
      </c>
      <c r="E19" s="4">
        <v>2.0833333333333332E-2</v>
      </c>
      <c r="F19" s="346">
        <f t="shared" ref="F19" si="1">IF(OR(ISTEXT(C19),ISBLANK(C19)),"",D19-C19-E19)</f>
        <v>0.33333333333333337</v>
      </c>
      <c r="G19" s="347"/>
      <c r="H19" s="212">
        <f t="shared" ref="H19" si="2">IF(AND(OR(ISTEXT(C19),ISBLANK(C19)),ISERR(SEARCH("ausgleich",C19,1))),"",INDEX(H$51:H$58,WEEKDAY(CONCATENATE(A19,".",I$11," ",J$11),2),1,1))</f>
        <v>0.33333333333333331</v>
      </c>
      <c r="I19" s="195" t="str">
        <f t="shared" ref="I19:I49" si="3">IF(OR(AND(F19&gt;H19,OR(B19&lt;&gt;"Samstag",H$56&gt;0),OR(B19&lt;&gt;"Sonntag",H$57&gt;0),AND(ISNONTEXT(C19),C19&lt;&gt;""))),F19-H19,"")</f>
        <v/>
      </c>
      <c r="J19" s="5" t="str">
        <f t="shared" ref="J19:J49" si="4">IF(NOT(ISERR(SEARCH("ausgleich",C19,1))),H19, IF(AND(F19&lt;H19,B19&lt;&gt;"Samstag",B19&lt;&gt;"Sonntag",ISNONTEXT(C19)),H19-F19,""))</f>
        <v/>
      </c>
      <c r="K19" s="6" t="str">
        <f>IF(AND(B19="Sonntag",SUM(I19:I19)&lt;SUM(J19:J19)),"-","")</f>
        <v/>
      </c>
      <c r="L19" s="7" t="str">
        <f>IF(B19="Sonntag",ABS(SUM(I19:I19)-SUM(J19:J19)),"")</f>
        <v/>
      </c>
    </row>
    <row r="20" spans="1:12" ht="17.399999999999999" customHeight="1" x14ac:dyDescent="0.25">
      <c r="A20" s="55">
        <v>2</v>
      </c>
      <c r="B20" s="56" t="str">
        <f t="shared" si="0"/>
        <v>Freitag</v>
      </c>
      <c r="C20" s="4">
        <v>0.35416666666666669</v>
      </c>
      <c r="D20" s="4">
        <v>0.70833333333333337</v>
      </c>
      <c r="E20" s="4">
        <v>2.0833333333333332E-2</v>
      </c>
      <c r="F20" s="346">
        <f t="shared" ref="F20" si="5">IF(OR(ISTEXT(C20),ISBLANK(C20)),"",D20-C20-E20)</f>
        <v>0.33333333333333337</v>
      </c>
      <c r="G20" s="347"/>
      <c r="H20" s="212">
        <f t="shared" ref="H20" si="6">IF(AND(OR(ISTEXT(C20),ISBLANK(C20)),ISERR(SEARCH("ausgleich",C20,1))),"",INDEX(H$51:H$58,WEEKDAY(CONCATENATE(A20,".",I$11," ",J$11),2),1,1))</f>
        <v>0.3125</v>
      </c>
      <c r="I20" s="195">
        <f t="shared" si="3"/>
        <v>2.083333333333337E-2</v>
      </c>
      <c r="J20" s="5" t="str">
        <f t="shared" si="4"/>
        <v/>
      </c>
      <c r="K20" s="8" t="str">
        <f>IF(AND(B20="Sonntag",SUM(I19:I20)&lt;SUM(J19:J20)),"-","")</f>
        <v/>
      </c>
      <c r="L20" s="9" t="str">
        <f>IF(B20="Sonntag",ABS(SUM(I19:I20)-SUM(J19:J20)),"")</f>
        <v/>
      </c>
    </row>
    <row r="21" spans="1:12" ht="17.399999999999999" customHeight="1" x14ac:dyDescent="0.25">
      <c r="A21" s="55">
        <v>3</v>
      </c>
      <c r="B21" s="56" t="str">
        <f t="shared" si="0"/>
        <v>Samstag</v>
      </c>
      <c r="C21" s="4">
        <v>0.35416666666666669</v>
      </c>
      <c r="D21" s="4">
        <v>0.70833333333333337</v>
      </c>
      <c r="E21" s="4">
        <v>2.0833333333333332E-2</v>
      </c>
      <c r="F21" s="346">
        <f t="shared" ref="F21" si="7">IF(OR(ISTEXT(C21),ISBLANK(C21)),"",D21-C21-E21)</f>
        <v>0.33333333333333337</v>
      </c>
      <c r="G21" s="347"/>
      <c r="H21" s="212">
        <f t="shared" ref="H21:H49" si="8">IF(AND(OR(ISTEXT(C21),ISBLANK(C21)),ISERR(SEARCH("ausgleich",C21,1))),"",INDEX(H$51:H$58,WEEKDAY(CONCATENATE(A21,".",I$11," ",J$11),2),1,1))</f>
        <v>0</v>
      </c>
      <c r="I21" s="195" t="str">
        <f t="shared" si="3"/>
        <v/>
      </c>
      <c r="J21" s="5" t="str">
        <f t="shared" si="4"/>
        <v/>
      </c>
      <c r="K21" s="8" t="str">
        <f>IF(AND(B21="Sonntag",SUM(I19:I21)&lt;SUM(J19:J21)),"-","")</f>
        <v/>
      </c>
      <c r="L21" s="9" t="str">
        <f>IF(B21="Sonntag",ABS(SUM(I19:I21)-SUM(J19:J21)),"")</f>
        <v/>
      </c>
    </row>
    <row r="22" spans="1:12" ht="17.399999999999999" customHeight="1" x14ac:dyDescent="0.25">
      <c r="A22" s="55">
        <v>4</v>
      </c>
      <c r="B22" s="56" t="str">
        <f t="shared" si="0"/>
        <v>Sonntag</v>
      </c>
      <c r="C22" s="4">
        <v>0.35416666666666669</v>
      </c>
      <c r="D22" s="4">
        <v>0.70833333333333337</v>
      </c>
      <c r="E22" s="4">
        <v>2.0833333333333332E-2</v>
      </c>
      <c r="F22" s="346">
        <f t="shared" ref="F22:F49" si="9">IF(OR(ISTEXT(C22),ISBLANK(C22)),"",D22-C22-E22)</f>
        <v>0.33333333333333337</v>
      </c>
      <c r="G22" s="347"/>
      <c r="H22" s="212">
        <f t="shared" si="8"/>
        <v>0</v>
      </c>
      <c r="I22" s="195" t="str">
        <f t="shared" si="3"/>
        <v/>
      </c>
      <c r="J22" s="5" t="str">
        <f t="shared" si="4"/>
        <v/>
      </c>
      <c r="K22" s="8" t="str">
        <f>IF(AND(B22="Sonntag",SUM(I19:I22)&lt;SUM(J19:J22)),"-","")</f>
        <v/>
      </c>
      <c r="L22" s="9">
        <f>IF(B22="Sonntag",ABS(SUM(I19:I22)-SUM(J19:J22)),"")</f>
        <v>2.083333333333337E-2</v>
      </c>
    </row>
    <row r="23" spans="1:12" ht="17.399999999999999" customHeight="1" x14ac:dyDescent="0.25">
      <c r="A23" s="55">
        <v>5</v>
      </c>
      <c r="B23" s="56" t="str">
        <f t="shared" si="0"/>
        <v>Montag</v>
      </c>
      <c r="C23" s="4">
        <v>0.35416666666666669</v>
      </c>
      <c r="D23" s="4">
        <v>0.70833333333333337</v>
      </c>
      <c r="E23" s="4">
        <v>2.0833333333333332E-2</v>
      </c>
      <c r="F23" s="346">
        <f t="shared" si="9"/>
        <v>0.33333333333333337</v>
      </c>
      <c r="G23" s="347"/>
      <c r="H23" s="212">
        <f t="shared" si="8"/>
        <v>0.33333333333333331</v>
      </c>
      <c r="I23" s="195" t="str">
        <f t="shared" si="3"/>
        <v/>
      </c>
      <c r="J23" s="5" t="str">
        <f t="shared" si="4"/>
        <v/>
      </c>
      <c r="K23" s="8" t="str">
        <f>IF(AND(B23="Sonntag",SUM(I19:I23)&lt;SUM(J19:J23)),"-","")</f>
        <v/>
      </c>
      <c r="L23" s="9" t="str">
        <f>IF(B23="Sonntag",ABS(SUM(I19:I23)-SUM(J19:J23)),"")</f>
        <v/>
      </c>
    </row>
    <row r="24" spans="1:12" ht="17.399999999999999" customHeight="1" x14ac:dyDescent="0.25">
      <c r="A24" s="55">
        <v>6</v>
      </c>
      <c r="B24" s="56" t="str">
        <f t="shared" si="0"/>
        <v>Dienstag</v>
      </c>
      <c r="C24" s="4">
        <v>0.35416666666666669</v>
      </c>
      <c r="D24" s="4">
        <v>0.70833333333333337</v>
      </c>
      <c r="E24" s="4">
        <v>2.0833333333333332E-2</v>
      </c>
      <c r="F24" s="346">
        <f t="shared" si="9"/>
        <v>0.33333333333333337</v>
      </c>
      <c r="G24" s="347"/>
      <c r="H24" s="212">
        <f t="shared" si="8"/>
        <v>0.33333333333333331</v>
      </c>
      <c r="I24" s="195" t="str">
        <f t="shared" si="3"/>
        <v/>
      </c>
      <c r="J24" s="5" t="str">
        <f t="shared" si="4"/>
        <v/>
      </c>
      <c r="K24" s="8" t="str">
        <f>IF(AND(B24="Sonntag",SUM(I19:I24)&lt;SUM(J19:J24)),"-","")</f>
        <v/>
      </c>
      <c r="L24" s="9" t="str">
        <f>IF(B24="Sonntag",ABS(SUM(I19:I24)-SUM(J19:J24)),"")</f>
        <v/>
      </c>
    </row>
    <row r="25" spans="1:12" ht="17.399999999999999" customHeight="1" x14ac:dyDescent="0.25">
      <c r="A25" s="55">
        <v>7</v>
      </c>
      <c r="B25" s="56" t="str">
        <f t="shared" si="0"/>
        <v>Mittwoch</v>
      </c>
      <c r="C25" s="4">
        <v>0.35416666666666669</v>
      </c>
      <c r="D25" s="4">
        <v>0.70833333333333337</v>
      </c>
      <c r="E25" s="4">
        <v>2.0833333333333332E-2</v>
      </c>
      <c r="F25" s="346">
        <f t="shared" si="9"/>
        <v>0.33333333333333337</v>
      </c>
      <c r="G25" s="347"/>
      <c r="H25" s="212">
        <f t="shared" si="8"/>
        <v>0.33333333333333331</v>
      </c>
      <c r="I25" s="195" t="str">
        <f t="shared" si="3"/>
        <v/>
      </c>
      <c r="J25" s="5" t="str">
        <f t="shared" si="4"/>
        <v/>
      </c>
      <c r="K25" s="8" t="str">
        <f>IF(AND(B25="Sonntag",SUM(I19:I25)&lt;SUM(J19:J25)),"-","")</f>
        <v/>
      </c>
      <c r="L25" s="9" t="str">
        <f>IF(B25="Sonntag",ABS(SUM(I19:I25)-SUM(J19:J25)),"")</f>
        <v/>
      </c>
    </row>
    <row r="26" spans="1:12" ht="17.399999999999999" customHeight="1" x14ac:dyDescent="0.25">
      <c r="A26" s="55">
        <v>8</v>
      </c>
      <c r="B26" s="56" t="str">
        <f t="shared" si="0"/>
        <v>Donnerstag</v>
      </c>
      <c r="C26" s="4">
        <v>0.35416666666666669</v>
      </c>
      <c r="D26" s="4">
        <v>0.70833333333333337</v>
      </c>
      <c r="E26" s="4">
        <v>2.0833333333333332E-2</v>
      </c>
      <c r="F26" s="346">
        <f t="shared" si="9"/>
        <v>0.33333333333333337</v>
      </c>
      <c r="G26" s="347"/>
      <c r="H26" s="212">
        <f t="shared" si="8"/>
        <v>0.33333333333333331</v>
      </c>
      <c r="I26" s="195" t="str">
        <f t="shared" si="3"/>
        <v/>
      </c>
      <c r="J26" s="5" t="str">
        <f t="shared" si="4"/>
        <v/>
      </c>
      <c r="K26" s="8" t="str">
        <f>IF(AND(B26="Sonntag",SUM(I20:I26)&lt;SUM(J20:J26)),"-","")</f>
        <v/>
      </c>
      <c r="L26" s="9" t="str">
        <f>IF(B26="Sonntag",ABS(SUM(I20:I26)-SUM(J20:J26)),"")</f>
        <v/>
      </c>
    </row>
    <row r="27" spans="1:12" ht="17.399999999999999" customHeight="1" x14ac:dyDescent="0.25">
      <c r="A27" s="55">
        <v>9</v>
      </c>
      <c r="B27" s="56" t="str">
        <f t="shared" si="0"/>
        <v>Freitag</v>
      </c>
      <c r="C27" s="4">
        <v>0.35416666666666669</v>
      </c>
      <c r="D27" s="4">
        <v>0.70833333333333337</v>
      </c>
      <c r="E27" s="4">
        <v>2.0833333333333332E-2</v>
      </c>
      <c r="F27" s="346">
        <f t="shared" si="9"/>
        <v>0.33333333333333337</v>
      </c>
      <c r="G27" s="347"/>
      <c r="H27" s="212">
        <f t="shared" si="8"/>
        <v>0.3125</v>
      </c>
      <c r="I27" s="195">
        <f t="shared" si="3"/>
        <v>2.083333333333337E-2</v>
      </c>
      <c r="J27" s="5" t="str">
        <f t="shared" si="4"/>
        <v/>
      </c>
      <c r="K27" s="8" t="str">
        <f>IF(AND(B27="Sonntag",SUM(I21:I27)&lt;SUM(J21:J27)),"-","")</f>
        <v/>
      </c>
      <c r="L27" s="9" t="str">
        <f>IF(B27="Sonntag",ABS(SUM(I21:I27)-SUM(J21:J27)),"")</f>
        <v/>
      </c>
    </row>
    <row r="28" spans="1:12" ht="17.399999999999999" customHeight="1" x14ac:dyDescent="0.25">
      <c r="A28" s="55">
        <v>10</v>
      </c>
      <c r="B28" s="56" t="str">
        <f t="shared" si="0"/>
        <v>Samstag</v>
      </c>
      <c r="C28" s="4">
        <v>0.35416666666666669</v>
      </c>
      <c r="D28" s="4">
        <v>0.70833333333333337</v>
      </c>
      <c r="E28" s="4">
        <v>2.0833333333333332E-2</v>
      </c>
      <c r="F28" s="346">
        <f t="shared" si="9"/>
        <v>0.33333333333333337</v>
      </c>
      <c r="G28" s="347"/>
      <c r="H28" s="212">
        <f t="shared" si="8"/>
        <v>0</v>
      </c>
      <c r="I28" s="195" t="str">
        <f t="shared" si="3"/>
        <v/>
      </c>
      <c r="J28" s="5" t="str">
        <f t="shared" si="4"/>
        <v/>
      </c>
      <c r="K28" s="8" t="str">
        <f t="shared" ref="K28:K47" si="10">IF(AND(B28="Sonntag",SUM(I22:I28)&lt;SUM(J22:J28)),"-","")</f>
        <v/>
      </c>
      <c r="L28" s="9" t="str">
        <f t="shared" ref="L28:L47" si="11">IF(B28="Sonntag",ABS(SUM(I22:I28)-SUM(J22:J28)),"")</f>
        <v/>
      </c>
    </row>
    <row r="29" spans="1:12" ht="17.399999999999999" customHeight="1" x14ac:dyDescent="0.25">
      <c r="A29" s="55">
        <v>11</v>
      </c>
      <c r="B29" s="56" t="str">
        <f t="shared" si="0"/>
        <v>Sonntag</v>
      </c>
      <c r="C29" s="4">
        <v>0.35416666666666669</v>
      </c>
      <c r="D29" s="4">
        <v>0.70833333333333337</v>
      </c>
      <c r="E29" s="4">
        <v>2.0833333333333332E-2</v>
      </c>
      <c r="F29" s="346">
        <f t="shared" si="9"/>
        <v>0.33333333333333337</v>
      </c>
      <c r="G29" s="347"/>
      <c r="H29" s="212">
        <f t="shared" si="8"/>
        <v>0</v>
      </c>
      <c r="I29" s="195" t="str">
        <f t="shared" si="3"/>
        <v/>
      </c>
      <c r="J29" s="5" t="str">
        <f t="shared" si="4"/>
        <v/>
      </c>
      <c r="K29" s="8" t="str">
        <f t="shared" si="10"/>
        <v/>
      </c>
      <c r="L29" s="9">
        <f t="shared" si="11"/>
        <v>2.083333333333337E-2</v>
      </c>
    </row>
    <row r="30" spans="1:12" ht="17.399999999999999" customHeight="1" x14ac:dyDescent="0.25">
      <c r="A30" s="55">
        <v>12</v>
      </c>
      <c r="B30" s="56" t="str">
        <f t="shared" si="0"/>
        <v>Montag</v>
      </c>
      <c r="C30" s="4">
        <v>0.35416666666666669</v>
      </c>
      <c r="D30" s="4">
        <v>0.70833333333333337</v>
      </c>
      <c r="E30" s="4">
        <v>2.0833333333333332E-2</v>
      </c>
      <c r="F30" s="346">
        <f t="shared" si="9"/>
        <v>0.33333333333333337</v>
      </c>
      <c r="G30" s="347"/>
      <c r="H30" s="212">
        <f t="shared" si="8"/>
        <v>0.33333333333333331</v>
      </c>
      <c r="I30" s="195" t="str">
        <f t="shared" si="3"/>
        <v/>
      </c>
      <c r="J30" s="5" t="str">
        <f t="shared" si="4"/>
        <v/>
      </c>
      <c r="K30" s="8" t="str">
        <f t="shared" si="10"/>
        <v/>
      </c>
      <c r="L30" s="9" t="str">
        <f t="shared" si="11"/>
        <v/>
      </c>
    </row>
    <row r="31" spans="1:12" ht="17.399999999999999" customHeight="1" x14ac:dyDescent="0.25">
      <c r="A31" s="55">
        <v>13</v>
      </c>
      <c r="B31" s="56" t="str">
        <f t="shared" si="0"/>
        <v>Dienstag</v>
      </c>
      <c r="C31" s="4">
        <v>0.35416666666666669</v>
      </c>
      <c r="D31" s="4">
        <v>0.70833333333333337</v>
      </c>
      <c r="E31" s="4">
        <v>2.0833333333333332E-2</v>
      </c>
      <c r="F31" s="346">
        <f t="shared" si="9"/>
        <v>0.33333333333333337</v>
      </c>
      <c r="G31" s="347"/>
      <c r="H31" s="212">
        <f t="shared" si="8"/>
        <v>0.33333333333333331</v>
      </c>
      <c r="I31" s="195" t="str">
        <f t="shared" si="3"/>
        <v/>
      </c>
      <c r="J31" s="5" t="str">
        <f t="shared" si="4"/>
        <v/>
      </c>
      <c r="K31" s="8" t="str">
        <f t="shared" si="10"/>
        <v/>
      </c>
      <c r="L31" s="9" t="str">
        <f t="shared" si="11"/>
        <v/>
      </c>
    </row>
    <row r="32" spans="1:12" ht="17.399999999999999" customHeight="1" x14ac:dyDescent="0.25">
      <c r="A32" s="55">
        <v>14</v>
      </c>
      <c r="B32" s="56" t="str">
        <f t="shared" si="0"/>
        <v>Mittwoch</v>
      </c>
      <c r="C32" s="4">
        <v>0.35416666666666669</v>
      </c>
      <c r="D32" s="4">
        <v>0.70833333333333337</v>
      </c>
      <c r="E32" s="4">
        <v>2.0833333333333332E-2</v>
      </c>
      <c r="F32" s="346">
        <f t="shared" si="9"/>
        <v>0.33333333333333337</v>
      </c>
      <c r="G32" s="347"/>
      <c r="H32" s="212">
        <f t="shared" si="8"/>
        <v>0.33333333333333331</v>
      </c>
      <c r="I32" s="195" t="str">
        <f t="shared" si="3"/>
        <v/>
      </c>
      <c r="J32" s="5" t="str">
        <f t="shared" si="4"/>
        <v/>
      </c>
      <c r="K32" s="8" t="str">
        <f t="shared" si="10"/>
        <v/>
      </c>
      <c r="L32" s="9" t="str">
        <f t="shared" si="11"/>
        <v/>
      </c>
    </row>
    <row r="33" spans="1:12" ht="17.399999999999999" customHeight="1" x14ac:dyDescent="0.25">
      <c r="A33" s="55">
        <v>15</v>
      </c>
      <c r="B33" s="56" t="str">
        <f t="shared" si="0"/>
        <v>Donnerstag</v>
      </c>
      <c r="C33" s="4">
        <v>0.35416666666666669</v>
      </c>
      <c r="D33" s="4">
        <v>0.70833333333333337</v>
      </c>
      <c r="E33" s="4">
        <v>2.0833333333333332E-2</v>
      </c>
      <c r="F33" s="346">
        <f t="shared" si="9"/>
        <v>0.33333333333333337</v>
      </c>
      <c r="G33" s="347"/>
      <c r="H33" s="212">
        <f t="shared" si="8"/>
        <v>0.33333333333333331</v>
      </c>
      <c r="I33" s="195" t="str">
        <f t="shared" si="3"/>
        <v/>
      </c>
      <c r="J33" s="5" t="str">
        <f t="shared" si="4"/>
        <v/>
      </c>
      <c r="K33" s="8" t="str">
        <f t="shared" si="10"/>
        <v/>
      </c>
      <c r="L33" s="9" t="str">
        <f t="shared" si="11"/>
        <v/>
      </c>
    </row>
    <row r="34" spans="1:12" ht="17.399999999999999" customHeight="1" x14ac:dyDescent="0.25">
      <c r="A34" s="55">
        <v>16</v>
      </c>
      <c r="B34" s="56" t="str">
        <f t="shared" si="0"/>
        <v>Freitag</v>
      </c>
      <c r="C34" s="4">
        <v>0.35416666666666669</v>
      </c>
      <c r="D34" s="4">
        <v>0.70833333333333337</v>
      </c>
      <c r="E34" s="4">
        <v>2.0833333333333332E-2</v>
      </c>
      <c r="F34" s="346">
        <f t="shared" si="9"/>
        <v>0.33333333333333337</v>
      </c>
      <c r="G34" s="347"/>
      <c r="H34" s="212">
        <f t="shared" si="8"/>
        <v>0.3125</v>
      </c>
      <c r="I34" s="195">
        <f t="shared" si="3"/>
        <v>2.083333333333337E-2</v>
      </c>
      <c r="J34" s="5" t="str">
        <f t="shared" si="4"/>
        <v/>
      </c>
      <c r="K34" s="8" t="str">
        <f t="shared" si="10"/>
        <v/>
      </c>
      <c r="L34" s="9" t="str">
        <f t="shared" si="11"/>
        <v/>
      </c>
    </row>
    <row r="35" spans="1:12" ht="17.399999999999999" customHeight="1" x14ac:dyDescent="0.25">
      <c r="A35" s="55">
        <v>17</v>
      </c>
      <c r="B35" s="56" t="str">
        <f t="shared" si="0"/>
        <v>Samstag</v>
      </c>
      <c r="C35" s="4">
        <v>0.35416666666666669</v>
      </c>
      <c r="D35" s="4">
        <v>0.70833333333333337</v>
      </c>
      <c r="E35" s="4">
        <v>2.0833333333333332E-2</v>
      </c>
      <c r="F35" s="346">
        <f t="shared" si="9"/>
        <v>0.33333333333333337</v>
      </c>
      <c r="G35" s="347"/>
      <c r="H35" s="212">
        <f t="shared" si="8"/>
        <v>0</v>
      </c>
      <c r="I35" s="195" t="str">
        <f t="shared" si="3"/>
        <v/>
      </c>
      <c r="J35" s="5" t="str">
        <f t="shared" si="4"/>
        <v/>
      </c>
      <c r="K35" s="8" t="str">
        <f t="shared" si="10"/>
        <v/>
      </c>
      <c r="L35" s="9" t="str">
        <f t="shared" si="11"/>
        <v/>
      </c>
    </row>
    <row r="36" spans="1:12" ht="17.399999999999999" customHeight="1" x14ac:dyDescent="0.25">
      <c r="A36" s="55">
        <v>18</v>
      </c>
      <c r="B36" s="56" t="str">
        <f t="shared" si="0"/>
        <v>Sonntag</v>
      </c>
      <c r="C36" s="4">
        <v>0.35416666666666669</v>
      </c>
      <c r="D36" s="4">
        <v>0.70833333333333337</v>
      </c>
      <c r="E36" s="4">
        <v>2.0833333333333332E-2</v>
      </c>
      <c r="F36" s="346">
        <f t="shared" si="9"/>
        <v>0.33333333333333337</v>
      </c>
      <c r="G36" s="347"/>
      <c r="H36" s="212">
        <f t="shared" si="8"/>
        <v>0</v>
      </c>
      <c r="I36" s="195" t="str">
        <f t="shared" si="3"/>
        <v/>
      </c>
      <c r="J36" s="5" t="str">
        <f t="shared" si="4"/>
        <v/>
      </c>
      <c r="K36" s="8" t="str">
        <f t="shared" si="10"/>
        <v/>
      </c>
      <c r="L36" s="9">
        <f t="shared" si="11"/>
        <v>2.083333333333337E-2</v>
      </c>
    </row>
    <row r="37" spans="1:12" ht="17.399999999999999" customHeight="1" x14ac:dyDescent="0.25">
      <c r="A37" s="55">
        <v>19</v>
      </c>
      <c r="B37" s="56" t="str">
        <f t="shared" si="0"/>
        <v>Montag</v>
      </c>
      <c r="C37" s="4">
        <v>0.35416666666666669</v>
      </c>
      <c r="D37" s="4">
        <v>0.70833333333333337</v>
      </c>
      <c r="E37" s="4">
        <v>2.0833333333333332E-2</v>
      </c>
      <c r="F37" s="346">
        <f t="shared" si="9"/>
        <v>0.33333333333333337</v>
      </c>
      <c r="G37" s="347"/>
      <c r="H37" s="212">
        <f t="shared" si="8"/>
        <v>0.33333333333333331</v>
      </c>
      <c r="I37" s="195" t="str">
        <f t="shared" si="3"/>
        <v/>
      </c>
      <c r="J37" s="5" t="str">
        <f t="shared" si="4"/>
        <v/>
      </c>
      <c r="K37" s="8" t="str">
        <f t="shared" si="10"/>
        <v/>
      </c>
      <c r="L37" s="9" t="str">
        <f t="shared" si="11"/>
        <v/>
      </c>
    </row>
    <row r="38" spans="1:12" ht="17.399999999999999" customHeight="1" x14ac:dyDescent="0.25">
      <c r="A38" s="55">
        <v>20</v>
      </c>
      <c r="B38" s="56" t="str">
        <f t="shared" si="0"/>
        <v>Dienstag</v>
      </c>
      <c r="C38" s="4">
        <v>0.35416666666666669</v>
      </c>
      <c r="D38" s="4">
        <v>0.70833333333333337</v>
      </c>
      <c r="E38" s="4">
        <v>2.0833333333333332E-2</v>
      </c>
      <c r="F38" s="346">
        <f t="shared" si="9"/>
        <v>0.33333333333333337</v>
      </c>
      <c r="G38" s="347"/>
      <c r="H38" s="212">
        <f t="shared" si="8"/>
        <v>0.33333333333333331</v>
      </c>
      <c r="I38" s="195" t="str">
        <f t="shared" si="3"/>
        <v/>
      </c>
      <c r="J38" s="5" t="str">
        <f t="shared" si="4"/>
        <v/>
      </c>
      <c r="K38" s="8" t="str">
        <f t="shared" si="10"/>
        <v/>
      </c>
      <c r="L38" s="9" t="str">
        <f t="shared" si="11"/>
        <v/>
      </c>
    </row>
    <row r="39" spans="1:12" ht="17.399999999999999" customHeight="1" x14ac:dyDescent="0.25">
      <c r="A39" s="55">
        <v>21</v>
      </c>
      <c r="B39" s="56" t="str">
        <f t="shared" si="0"/>
        <v>Mittwoch</v>
      </c>
      <c r="C39" s="4">
        <v>0.35416666666666669</v>
      </c>
      <c r="D39" s="4">
        <v>0.70833333333333337</v>
      </c>
      <c r="E39" s="4">
        <v>2.0833333333333332E-2</v>
      </c>
      <c r="F39" s="346">
        <f t="shared" si="9"/>
        <v>0.33333333333333337</v>
      </c>
      <c r="G39" s="347"/>
      <c r="H39" s="212">
        <f t="shared" si="8"/>
        <v>0.33333333333333331</v>
      </c>
      <c r="I39" s="195" t="str">
        <f t="shared" si="3"/>
        <v/>
      </c>
      <c r="J39" s="5" t="str">
        <f t="shared" si="4"/>
        <v/>
      </c>
      <c r="K39" s="8" t="str">
        <f t="shared" si="10"/>
        <v/>
      </c>
      <c r="L39" s="9" t="str">
        <f t="shared" si="11"/>
        <v/>
      </c>
    </row>
    <row r="40" spans="1:12" ht="17.399999999999999" customHeight="1" x14ac:dyDescent="0.25">
      <c r="A40" s="55">
        <v>22</v>
      </c>
      <c r="B40" s="56" t="str">
        <f t="shared" si="0"/>
        <v>Donnerstag</v>
      </c>
      <c r="C40" s="4">
        <v>0.35416666666666669</v>
      </c>
      <c r="D40" s="4">
        <v>0.70833333333333337</v>
      </c>
      <c r="E40" s="4">
        <v>2.0833333333333332E-2</v>
      </c>
      <c r="F40" s="346">
        <f t="shared" si="9"/>
        <v>0.33333333333333337</v>
      </c>
      <c r="G40" s="347"/>
      <c r="H40" s="212">
        <f t="shared" si="8"/>
        <v>0.33333333333333331</v>
      </c>
      <c r="I40" s="195" t="str">
        <f t="shared" si="3"/>
        <v/>
      </c>
      <c r="J40" s="5" t="str">
        <f t="shared" si="4"/>
        <v/>
      </c>
      <c r="K40" s="8" t="str">
        <f t="shared" si="10"/>
        <v/>
      </c>
      <c r="L40" s="9" t="str">
        <f t="shared" si="11"/>
        <v/>
      </c>
    </row>
    <row r="41" spans="1:12" ht="17.399999999999999" customHeight="1" x14ac:dyDescent="0.25">
      <c r="A41" s="55">
        <v>23</v>
      </c>
      <c r="B41" s="56" t="str">
        <f t="shared" si="0"/>
        <v>Freitag</v>
      </c>
      <c r="C41" s="4">
        <v>0.35416666666666669</v>
      </c>
      <c r="D41" s="4">
        <v>0.70833333333333337</v>
      </c>
      <c r="E41" s="4">
        <v>2.0833333333333332E-2</v>
      </c>
      <c r="F41" s="346">
        <f t="shared" si="9"/>
        <v>0.33333333333333337</v>
      </c>
      <c r="G41" s="347"/>
      <c r="H41" s="212">
        <f t="shared" si="8"/>
        <v>0.3125</v>
      </c>
      <c r="I41" s="195">
        <f t="shared" si="3"/>
        <v>2.083333333333337E-2</v>
      </c>
      <c r="J41" s="5" t="str">
        <f t="shared" si="4"/>
        <v/>
      </c>
      <c r="K41" s="8" t="str">
        <f t="shared" si="10"/>
        <v/>
      </c>
      <c r="L41" s="9" t="str">
        <f t="shared" si="11"/>
        <v/>
      </c>
    </row>
    <row r="42" spans="1:12" ht="17.399999999999999" customHeight="1" x14ac:dyDescent="0.25">
      <c r="A42" s="55">
        <v>24</v>
      </c>
      <c r="B42" s="56" t="str">
        <f t="shared" si="0"/>
        <v>Samstag</v>
      </c>
      <c r="C42" s="4">
        <v>0.35416666666666669</v>
      </c>
      <c r="D42" s="4">
        <v>0.70833333333333337</v>
      </c>
      <c r="E42" s="4">
        <v>2.0833333333333332E-2</v>
      </c>
      <c r="F42" s="346">
        <f t="shared" si="9"/>
        <v>0.33333333333333337</v>
      </c>
      <c r="G42" s="347"/>
      <c r="H42" s="212">
        <f t="shared" si="8"/>
        <v>0</v>
      </c>
      <c r="I42" s="195" t="str">
        <f t="shared" si="3"/>
        <v/>
      </c>
      <c r="J42" s="5" t="str">
        <f t="shared" si="4"/>
        <v/>
      </c>
      <c r="K42" s="8" t="str">
        <f t="shared" si="10"/>
        <v/>
      </c>
      <c r="L42" s="9" t="str">
        <f t="shared" si="11"/>
        <v/>
      </c>
    </row>
    <row r="43" spans="1:12" ht="17.399999999999999" customHeight="1" x14ac:dyDescent="0.25">
      <c r="A43" s="55">
        <v>25</v>
      </c>
      <c r="B43" s="56" t="str">
        <f t="shared" si="0"/>
        <v>Sonntag</v>
      </c>
      <c r="C43" s="4">
        <v>0.35416666666666669</v>
      </c>
      <c r="D43" s="4">
        <v>0.70833333333333337</v>
      </c>
      <c r="E43" s="4">
        <v>2.0833333333333332E-2</v>
      </c>
      <c r="F43" s="346">
        <f t="shared" si="9"/>
        <v>0.33333333333333337</v>
      </c>
      <c r="G43" s="347"/>
      <c r="H43" s="212">
        <f t="shared" si="8"/>
        <v>0</v>
      </c>
      <c r="I43" s="195" t="str">
        <f t="shared" si="3"/>
        <v/>
      </c>
      <c r="J43" s="5" t="str">
        <f t="shared" si="4"/>
        <v/>
      </c>
      <c r="K43" s="8" t="str">
        <f t="shared" si="10"/>
        <v/>
      </c>
      <c r="L43" s="9">
        <f t="shared" si="11"/>
        <v>2.083333333333337E-2</v>
      </c>
    </row>
    <row r="44" spans="1:12" ht="17.399999999999999" customHeight="1" x14ac:dyDescent="0.25">
      <c r="A44" s="55">
        <v>26</v>
      </c>
      <c r="B44" s="56" t="str">
        <f t="shared" si="0"/>
        <v>Montag</v>
      </c>
      <c r="C44" s="4">
        <v>0.35416666666666669</v>
      </c>
      <c r="D44" s="4">
        <v>0.70833333333333337</v>
      </c>
      <c r="E44" s="4">
        <v>2.0833333333333332E-2</v>
      </c>
      <c r="F44" s="346">
        <f t="shared" si="9"/>
        <v>0.33333333333333337</v>
      </c>
      <c r="G44" s="347"/>
      <c r="H44" s="212">
        <f t="shared" si="8"/>
        <v>0.33333333333333331</v>
      </c>
      <c r="I44" s="195" t="str">
        <f t="shared" si="3"/>
        <v/>
      </c>
      <c r="J44" s="5" t="str">
        <f t="shared" si="4"/>
        <v/>
      </c>
      <c r="K44" s="8" t="str">
        <f t="shared" si="10"/>
        <v/>
      </c>
      <c r="L44" s="9" t="str">
        <f t="shared" si="11"/>
        <v/>
      </c>
    </row>
    <row r="45" spans="1:12" ht="17.399999999999999" customHeight="1" x14ac:dyDescent="0.25">
      <c r="A45" s="55">
        <v>27</v>
      </c>
      <c r="B45" s="56" t="str">
        <f t="shared" si="0"/>
        <v>Dienstag</v>
      </c>
      <c r="C45" s="4">
        <v>0.35416666666666669</v>
      </c>
      <c r="D45" s="4">
        <v>0.70833333333333337</v>
      </c>
      <c r="E45" s="4">
        <v>2.0833333333333332E-2</v>
      </c>
      <c r="F45" s="346">
        <f t="shared" si="9"/>
        <v>0.33333333333333337</v>
      </c>
      <c r="G45" s="347"/>
      <c r="H45" s="212">
        <f t="shared" si="8"/>
        <v>0.33333333333333331</v>
      </c>
      <c r="I45" s="195" t="str">
        <f t="shared" si="3"/>
        <v/>
      </c>
      <c r="J45" s="5" t="str">
        <f t="shared" si="4"/>
        <v/>
      </c>
      <c r="K45" s="8" t="str">
        <f t="shared" si="10"/>
        <v/>
      </c>
      <c r="L45" s="9" t="str">
        <f t="shared" si="11"/>
        <v/>
      </c>
    </row>
    <row r="46" spans="1:12" ht="17.399999999999999" customHeight="1" x14ac:dyDescent="0.25">
      <c r="A46" s="55">
        <v>28</v>
      </c>
      <c r="B46" s="56" t="str">
        <f t="shared" si="0"/>
        <v>Mittwoch</v>
      </c>
      <c r="C46" s="4">
        <v>0.35416666666666669</v>
      </c>
      <c r="D46" s="4">
        <v>0.70833333333333337</v>
      </c>
      <c r="E46" s="4">
        <v>2.0833333333333332E-2</v>
      </c>
      <c r="F46" s="346">
        <f t="shared" si="9"/>
        <v>0.33333333333333337</v>
      </c>
      <c r="G46" s="347"/>
      <c r="H46" s="212">
        <f t="shared" si="8"/>
        <v>0.33333333333333331</v>
      </c>
      <c r="I46" s="195" t="str">
        <f t="shared" si="3"/>
        <v/>
      </c>
      <c r="J46" s="5" t="str">
        <f t="shared" si="4"/>
        <v/>
      </c>
      <c r="K46" s="8" t="str">
        <f t="shared" si="10"/>
        <v/>
      </c>
      <c r="L46" s="9" t="str">
        <f t="shared" si="11"/>
        <v/>
      </c>
    </row>
    <row r="47" spans="1:12" ht="17.399999999999999" customHeight="1" x14ac:dyDescent="0.25">
      <c r="A47" s="55">
        <v>29</v>
      </c>
      <c r="B47" s="56" t="str">
        <f t="shared" si="0"/>
        <v>Donnerstag</v>
      </c>
      <c r="C47" s="4">
        <v>0.35416666666666669</v>
      </c>
      <c r="D47" s="4">
        <v>0.70833333333333337</v>
      </c>
      <c r="E47" s="4">
        <v>2.0833333333333332E-2</v>
      </c>
      <c r="F47" s="346">
        <f t="shared" si="9"/>
        <v>0.33333333333333337</v>
      </c>
      <c r="G47" s="347"/>
      <c r="H47" s="212">
        <f t="shared" si="8"/>
        <v>0.33333333333333331</v>
      </c>
      <c r="I47" s="195" t="str">
        <f t="shared" si="3"/>
        <v/>
      </c>
      <c r="J47" s="5" t="str">
        <f t="shared" si="4"/>
        <v/>
      </c>
      <c r="K47" s="8" t="str">
        <f t="shared" si="10"/>
        <v/>
      </c>
      <c r="L47" s="9" t="str">
        <f t="shared" si="11"/>
        <v/>
      </c>
    </row>
    <row r="48" spans="1:12" ht="17.399999999999999" customHeight="1" x14ac:dyDescent="0.25">
      <c r="A48" s="55">
        <v>30</v>
      </c>
      <c r="B48" s="56" t="str">
        <f t="shared" si="0"/>
        <v>Freitag</v>
      </c>
      <c r="C48" s="4">
        <v>0.35416666666666669</v>
      </c>
      <c r="D48" s="4">
        <v>0.70833333333333337</v>
      </c>
      <c r="E48" s="4">
        <v>2.0833333333333332E-2</v>
      </c>
      <c r="F48" s="346">
        <f t="shared" si="9"/>
        <v>0.33333333333333337</v>
      </c>
      <c r="G48" s="347"/>
      <c r="H48" s="212">
        <f t="shared" si="8"/>
        <v>0.3125</v>
      </c>
      <c r="I48" s="195">
        <f t="shared" si="3"/>
        <v>2.083333333333337E-2</v>
      </c>
      <c r="J48" s="5" t="str">
        <f t="shared" si="4"/>
        <v/>
      </c>
      <c r="K48" s="8" t="str">
        <f>IF(AND(B48="Sonntag",SUM(I42:I48)&lt;SUM(J42:J48)),"-","")</f>
        <v/>
      </c>
      <c r="L48" s="9" t="str">
        <f>IF(B48="Sonntag",ABS(SUM(I42:I48)-SUM(J42:J48)),"")</f>
        <v/>
      </c>
    </row>
    <row r="49" spans="1:14" ht="17.399999999999999" customHeight="1" x14ac:dyDescent="0.3">
      <c r="A49" s="55">
        <v>31</v>
      </c>
      <c r="B49" s="56" t="str">
        <f t="shared" si="0"/>
        <v>Samstag</v>
      </c>
      <c r="C49" s="4">
        <v>0.35416666666666669</v>
      </c>
      <c r="D49" s="4">
        <v>0.70833333333333337</v>
      </c>
      <c r="E49" s="4">
        <v>2.0833333333333332E-2</v>
      </c>
      <c r="F49" s="346">
        <f t="shared" si="9"/>
        <v>0.33333333333333337</v>
      </c>
      <c r="G49" s="347"/>
      <c r="H49" s="212">
        <f t="shared" si="8"/>
        <v>0</v>
      </c>
      <c r="I49" s="195" t="str">
        <f t="shared" si="3"/>
        <v/>
      </c>
      <c r="J49" s="5" t="str">
        <f t="shared" si="4"/>
        <v/>
      </c>
      <c r="K49" s="10" t="str">
        <f ca="1">IF(SUM(INDIRECT("I"&amp;ROW()-WEEKDAY(CONCATENATE(A49,".",I$11," ",J$11),3)):I49) &lt; SUM(INDIRECT("j"&amp;ROW()-WEEKDAY(CONCATENATE(A49,".",I$11," ",J$11),3)):J49),"-","")</f>
        <v/>
      </c>
      <c r="L49" s="11">
        <f ca="1">ABS(SUM(INDIRECT("I"&amp;ROW()-WEEKDAY(CONCATENATE(A49,".",I$11," ",J$11),3)):I49)-SUM(INDIRECT("j"&amp;ROW()-WEEKDAY(CONCATENATE(A49,".",I$11," ",J$11),3)):J49))</f>
        <v>2.083333333333337E-2</v>
      </c>
    </row>
    <row r="50" spans="1:14" s="68" customFormat="1" ht="17.399999999999999" customHeight="1" thickBot="1" x14ac:dyDescent="0.3">
      <c r="A50" s="59" t="str">
        <f>Jan!A50</f>
        <v>Sonstige Zeiten laut beigefügter Aufstellung (s. Anlage):</v>
      </c>
      <c r="B50" s="88"/>
      <c r="C50" s="89"/>
      <c r="D50" s="62"/>
      <c r="E50" s="62"/>
      <c r="F50" s="62"/>
      <c r="G50" s="62"/>
      <c r="H50" s="63"/>
      <c r="I50" s="219">
        <v>0</v>
      </c>
      <c r="J50" s="220">
        <v>0</v>
      </c>
      <c r="K50" s="66"/>
      <c r="L50" s="67"/>
      <c r="M50" s="171"/>
      <c r="N50" s="171"/>
    </row>
    <row r="51" spans="1:14" x14ac:dyDescent="0.25">
      <c r="A51" s="338" t="s">
        <v>3</v>
      </c>
      <c r="B51" s="338"/>
      <c r="C51" s="338"/>
      <c r="D51" s="338"/>
      <c r="H51" s="69">
        <f>Jul!H51</f>
        <v>0.33333333333333331</v>
      </c>
      <c r="I51" s="351">
        <f>SUM(I17:I50)</f>
        <v>0.70833333333333459</v>
      </c>
      <c r="J51" s="351">
        <f>SUM(J17:J50)</f>
        <v>0</v>
      </c>
      <c r="K51" s="333" t="str">
        <f ca="1">IF(SUMIF(K19:K49,"",L19:L49)&lt;SUMIF(K19:K49,"-",L19:L49),"-","")</f>
        <v/>
      </c>
      <c r="L51" s="335">
        <f ca="1">ABS(SUMIF(K19:K49,"",L19:L49)-SUMIF(K19:K49,"-",L19:L49))</f>
        <v>0.10416666666666685</v>
      </c>
    </row>
    <row r="52" spans="1:14" ht="13.5" thickBot="1" x14ac:dyDescent="0.35">
      <c r="A52" s="339"/>
      <c r="B52" s="339"/>
      <c r="C52" s="339"/>
      <c r="D52" s="339"/>
      <c r="G52" s="70" t="s">
        <v>12</v>
      </c>
      <c r="H52" s="69">
        <f>Jul!H52</f>
        <v>0.33333333333333331</v>
      </c>
      <c r="I52" s="352"/>
      <c r="J52" s="352"/>
      <c r="K52" s="334"/>
      <c r="L52" s="336"/>
    </row>
    <row r="53" spans="1:14" x14ac:dyDescent="0.25">
      <c r="A53" s="339"/>
      <c r="B53" s="339"/>
      <c r="C53" s="339"/>
      <c r="D53" s="339"/>
      <c r="G53" s="71"/>
      <c r="H53" s="69">
        <f>Jul!H53</f>
        <v>0.33333333333333331</v>
      </c>
      <c r="I53" s="344">
        <f>IF(I51&gt;J51,I51-J51,0)</f>
        <v>0.70833333333333459</v>
      </c>
      <c r="J53" s="342" t="str">
        <f>IF(J51&gt;I51,J51-I51,"")</f>
        <v/>
      </c>
      <c r="K53" s="170"/>
      <c r="L53" s="170"/>
    </row>
    <row r="54" spans="1:14" ht="13.5" thickBot="1" x14ac:dyDescent="0.35">
      <c r="A54" s="341" t="s">
        <v>15</v>
      </c>
      <c r="B54" s="341"/>
      <c r="C54" s="341"/>
      <c r="D54" s="341"/>
      <c r="E54" s="72"/>
      <c r="F54" s="72"/>
      <c r="G54" s="70" t="s">
        <v>13</v>
      </c>
      <c r="H54" s="69">
        <f>Jul!H54</f>
        <v>0.33333333333333331</v>
      </c>
      <c r="I54" s="345"/>
      <c r="J54" s="343"/>
      <c r="K54" s="170"/>
      <c r="L54" s="170"/>
    </row>
    <row r="55" spans="1:14" x14ac:dyDescent="0.25">
      <c r="A55" s="338" t="s">
        <v>4</v>
      </c>
      <c r="B55" s="338"/>
      <c r="C55" s="338"/>
      <c r="D55" s="338"/>
      <c r="E55" s="72"/>
      <c r="F55" s="72"/>
      <c r="G55" s="72"/>
      <c r="H55" s="69">
        <f>Jul!H55</f>
        <v>0.3125</v>
      </c>
      <c r="I55" s="72"/>
      <c r="J55" s="72"/>
      <c r="K55" s="170"/>
      <c r="L55" s="170"/>
    </row>
    <row r="56" spans="1:14" ht="13.25" customHeight="1" x14ac:dyDescent="0.25">
      <c r="A56" s="339"/>
      <c r="B56" s="339"/>
      <c r="C56" s="339"/>
      <c r="D56" s="339"/>
      <c r="E56" s="245" t="str">
        <f>Jan!E56</f>
        <v xml:space="preserve"> </v>
      </c>
      <c r="F56" s="223"/>
      <c r="G56" s="74" t="str">
        <f>IF(E56=" ", " ", IF(Mantelbogen!D26=I11,Mantelbogen!C29,Jul!G58))</f>
        <v xml:space="preserve"> </v>
      </c>
      <c r="H56" s="187">
        <v>0</v>
      </c>
      <c r="I56" s="340" t="s">
        <v>129</v>
      </c>
      <c r="J56" s="340"/>
      <c r="K56" s="170"/>
      <c r="L56" s="170"/>
    </row>
    <row r="57" spans="1:14" ht="13" thickBot="1" x14ac:dyDescent="0.3">
      <c r="A57" s="339"/>
      <c r="B57" s="339"/>
      <c r="C57" s="339"/>
      <c r="D57" s="339"/>
      <c r="E57" s="245" t="str">
        <f>Jan!E57</f>
        <v xml:space="preserve"> </v>
      </c>
      <c r="F57" s="74"/>
      <c r="G57" s="74" t="str">
        <f>IF(E56=" ", " ", -COUNTIF(C19:C49, "Urlaub*" ))</f>
        <v xml:space="preserve"> </v>
      </c>
      <c r="H57" s="187">
        <v>0</v>
      </c>
      <c r="I57" s="340"/>
      <c r="J57" s="340"/>
      <c r="K57" s="170"/>
      <c r="L57" s="170"/>
    </row>
    <row r="58" spans="1:14" ht="24.5" customHeight="1" thickBot="1" x14ac:dyDescent="0.3">
      <c r="A58" s="341" t="s">
        <v>10</v>
      </c>
      <c r="B58" s="341"/>
      <c r="C58" s="341"/>
      <c r="D58" s="341"/>
      <c r="E58" s="246" t="str">
        <f>Jan!E58</f>
        <v xml:space="preserve"> </v>
      </c>
      <c r="F58" s="224"/>
      <c r="G58" s="225" t="str">
        <f>IF(E56=" ", " ", IF(Mantelbogen!C29 &gt; 0.0001, G56+G57, 0))</f>
        <v xml:space="preserve"> </v>
      </c>
      <c r="H58" s="73">
        <f>SUM(H51:H57)</f>
        <v>1.6458333333333333</v>
      </c>
      <c r="I58" s="340"/>
      <c r="J58" s="340"/>
      <c r="L58" s="188" t="str">
        <f>Mantelbogen!D47</f>
        <v>04.12.2023  HAdW / G. Wolff</v>
      </c>
    </row>
    <row r="60" spans="1:14" x14ac:dyDescent="0.25">
      <c r="G60" s="337"/>
      <c r="H60" s="337"/>
      <c r="I60" s="337"/>
      <c r="J60" s="74"/>
    </row>
    <row r="61" spans="1:14" x14ac:dyDescent="0.25">
      <c r="G61" s="74"/>
      <c r="H61" s="74"/>
      <c r="I61" s="74"/>
      <c r="J61" s="74"/>
    </row>
    <row r="62" spans="1:14" x14ac:dyDescent="0.25">
      <c r="G62" s="74"/>
      <c r="H62" s="74"/>
    </row>
  </sheetData>
  <sheetProtection password="9BC9" sheet="1" objects="1" scenarios="1"/>
  <mergeCells count="62">
    <mergeCell ref="A54:D54"/>
    <mergeCell ref="G60:I60"/>
    <mergeCell ref="A55:D55"/>
    <mergeCell ref="A56:D57"/>
    <mergeCell ref="I56:J58"/>
    <mergeCell ref="A58:D58"/>
    <mergeCell ref="J53:J54"/>
    <mergeCell ref="I53:I54"/>
    <mergeCell ref="F48:G48"/>
    <mergeCell ref="F49:G49"/>
    <mergeCell ref="A51:D51"/>
    <mergeCell ref="I51:I52"/>
    <mergeCell ref="J51:J52"/>
    <mergeCell ref="A52:D53"/>
    <mergeCell ref="F47:G47"/>
    <mergeCell ref="F36:G36"/>
    <mergeCell ref="F37:G37"/>
    <mergeCell ref="F38:G38"/>
    <mergeCell ref="F39:G39"/>
    <mergeCell ref="F40:G40"/>
    <mergeCell ref="F41:G41"/>
    <mergeCell ref="F42:G42"/>
    <mergeCell ref="F43:G43"/>
    <mergeCell ref="F44:G44"/>
    <mergeCell ref="F45:G45"/>
    <mergeCell ref="F46:G46"/>
    <mergeCell ref="F21:G21"/>
    <mergeCell ref="H15:H18"/>
    <mergeCell ref="F22:G22"/>
    <mergeCell ref="F35:G35"/>
    <mergeCell ref="F24:G24"/>
    <mergeCell ref="F25:G25"/>
    <mergeCell ref="F26:G26"/>
    <mergeCell ref="F27:G27"/>
    <mergeCell ref="F28:G28"/>
    <mergeCell ref="F29:G29"/>
    <mergeCell ref="F30:G30"/>
    <mergeCell ref="F31:G31"/>
    <mergeCell ref="F32:G32"/>
    <mergeCell ref="F33:G33"/>
    <mergeCell ref="F34:G34"/>
    <mergeCell ref="D15:D18"/>
    <mergeCell ref="E15:E18"/>
    <mergeCell ref="F15:G18"/>
    <mergeCell ref="F19:G19"/>
    <mergeCell ref="F20:G20"/>
    <mergeCell ref="K51:K52"/>
    <mergeCell ref="L51:L52"/>
    <mergeCell ref="G1:J7"/>
    <mergeCell ref="C3:D3"/>
    <mergeCell ref="A4:E6"/>
    <mergeCell ref="A11:B11"/>
    <mergeCell ref="A13:B13"/>
    <mergeCell ref="A15:A18"/>
    <mergeCell ref="I15:J15"/>
    <mergeCell ref="I17:I18"/>
    <mergeCell ref="J17:J18"/>
    <mergeCell ref="K15:L16"/>
    <mergeCell ref="K17:L18"/>
    <mergeCell ref="F23:G23"/>
    <mergeCell ref="B15:B18"/>
    <mergeCell ref="C15:C18"/>
  </mergeCells>
  <phoneticPr fontId="0" type="noConversion"/>
  <conditionalFormatting sqref="C19:C49">
    <cfRule type="expression" dxfId="34" priority="2">
      <formula>ISTEXT($C19)</formula>
    </cfRule>
  </conditionalFormatting>
  <conditionalFormatting sqref="A19:L49">
    <cfRule type="expression" dxfId="33" priority="1">
      <formula>OR($B19="Samstag", $B19="Sonntag", NOT( ISERROR(FIND("feiertag",LOWER($C19)) ) ) )</formula>
    </cfRule>
  </conditionalFormatting>
  <conditionalFormatting sqref="F19:F49">
    <cfRule type="expression" dxfId="32" priority="22">
      <formula>AND(ISNONTEXT($C19),$F19 &gt; 0.666667)</formula>
    </cfRule>
  </conditionalFormatting>
  <conditionalFormatting sqref="E19:E49">
    <cfRule type="expression" dxfId="31" priority="20">
      <formula>AND(ISNONTEXT($C19), OR(AND($F19 &gt; 0.250001, $E19 &lt; 0.020833332), AND($F19 &gt; 0.375, $E19 &lt; 0.03124999)  ) )</formula>
    </cfRule>
  </conditionalFormatting>
  <conditionalFormatting sqref="C19:I49">
    <cfRule type="expression" dxfId="30" priority="4">
      <formula>AND($B19="Samstag", $H$56&gt;0.00001)</formula>
    </cfRule>
    <cfRule type="expression" dxfId="29" priority="5">
      <formula>AND($B19="Sonntag", $H$57&gt;0.00001)</formula>
    </cfRule>
  </conditionalFormatting>
  <conditionalFormatting sqref="C19:J49">
    <cfRule type="expression" dxfId="28" priority="3">
      <formula>OR(AND($B19="Samstag", $H$56&lt;0.00001),AND($B19="Sonntag", $H$57&lt;0.00001))</formula>
    </cfRule>
  </conditionalFormatting>
  <printOptions horizontalCentered="1" verticalCentered="1"/>
  <pageMargins left="1.0236220472440944" right="0.23622047244094491" top="0.15748031496062992" bottom="0.19685039370078741" header="0.15748031496062992" footer="0.15748031496062992"/>
  <pageSetup paperSize="9" scale="82"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Mantelbogen</vt:lpstr>
      <vt:lpstr>Jan</vt:lpstr>
      <vt:lpstr>Feb</vt:lpstr>
      <vt:lpstr>Mar</vt:lpstr>
      <vt:lpstr>Apr</vt:lpstr>
      <vt:lpstr>Mai</vt:lpstr>
      <vt:lpstr>Jun</vt:lpstr>
      <vt:lpstr>Jul</vt:lpstr>
      <vt:lpstr>Aug</vt:lpstr>
      <vt:lpstr>Sep</vt:lpstr>
      <vt:lpstr>Okt</vt:lpstr>
      <vt:lpstr>Nov</vt:lpstr>
      <vt:lpstr>Dez</vt:lpstr>
      <vt:lpstr>Apr!Druck_Area</vt:lpstr>
      <vt:lpstr>Dez!Druck_Area</vt:lpstr>
      <vt:lpstr>Feb!Druck_Area</vt:lpstr>
      <vt:lpstr>Jan!Druck_Area</vt:lpstr>
      <vt:lpstr>Jun!Druck_Area</vt:lpstr>
      <vt:lpstr>Mantelbogen!Druck_Area</vt:lpstr>
      <vt:lpstr>Mar!Druck_Area</vt:lpstr>
      <vt:lpstr>Nov!Druck_Area</vt:lpstr>
      <vt:lpstr>Okt!Druck_Area</vt:lpstr>
      <vt:lpstr>Apr!Print_Area</vt:lpstr>
      <vt:lpstr>Aug!Print_Area</vt:lpstr>
      <vt:lpstr>Dez!Print_Area</vt:lpstr>
      <vt:lpstr>Feb!Print_Area</vt:lpstr>
      <vt:lpstr>Jan!Print_Area</vt:lpstr>
      <vt:lpstr>Jul!Print_Area</vt:lpstr>
      <vt:lpstr>Jun!Print_Area</vt:lpstr>
      <vt:lpstr>Mai!Print_Area</vt:lpstr>
      <vt:lpstr>Mantelbogen!Print_Area</vt:lpstr>
      <vt:lpstr>Mar!Print_Area</vt:lpstr>
      <vt:lpstr>Nov!Print_Area</vt:lpstr>
      <vt:lpstr>Okt!Print_Area</vt:lpstr>
      <vt:lpstr>Sep!Print_Area</vt:lpstr>
    </vt:vector>
  </TitlesOfParts>
  <Company>HAdW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Arbeitszeitblatt-2020</dc:title>
  <dc:creator>Siebert</dc:creator>
  <cp:lastModifiedBy>Georg Wolff</cp:lastModifiedBy>
  <cp:lastPrinted>2022-12-07T15:51:43Z</cp:lastPrinted>
  <dcterms:created xsi:type="dcterms:W3CDTF">2008-06-09T11:23:42Z</dcterms:created>
  <dcterms:modified xsi:type="dcterms:W3CDTF">2023-12-13T08:02:39Z</dcterms:modified>
  <cp:category>Personal</cp:category>
</cp:coreProperties>
</file>